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drawings/drawing3.xml" ContentType="application/vnd.openxmlformats-officedocument.drawing+xml"/>
  <Override PartName="/xl/ink/ink1.xml" ContentType="application/inkml+xml"/>
  <Override PartName="/xl/drawings/drawing4.xml" ContentType="application/vnd.openxmlformats-officedocument.drawing+xml"/>
  <Override PartName="/xl/comments1.xml" ContentType="application/vnd.openxmlformats-officedocument.spreadsheetml.comment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5.xml" ContentType="application/vnd.ms-excel.controlproperties+xml"/>
  <Override PartName="/xl/ctrlProps/ctrlProp6.xml" ContentType="application/vnd.ms-excel.controlproperti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cpslo-my.sharepoint.com/personal/nzainer_calpoly_edu/Documents/"/>
    </mc:Choice>
  </mc:AlternateContent>
  <xr:revisionPtr revIDLastSave="0" documentId="8_{66E2DCB2-8276-471C-BCC8-10413F469985}" xr6:coauthVersionLast="47" xr6:coauthVersionMax="47" xr10:uidLastSave="{00000000-0000-0000-0000-000000000000}"/>
  <bookViews>
    <workbookView xWindow="-108" yWindow="-108" windowWidth="23256" windowHeight="12456" tabRatio="671" firstSheet="5" activeTab="5" xr2:uid="{1AA31C24-4AF8-4E47-8D83-CC3547669091}"/>
  </bookViews>
  <sheets>
    <sheet name="Summary" sheetId="1" r:id="rId1"/>
    <sheet name="Input-Output" sheetId="2" r:id="rId2"/>
    <sheet name="Shafts" sheetId="8" r:id="rId3"/>
    <sheet name="Loads" sheetId="14" r:id="rId4"/>
    <sheet name="Gears" sheetId="4" r:id="rId5"/>
    <sheet name="Bearings" sheetId="5" r:id="rId6"/>
    <sheet name="Report_Template" sheetId="6" r:id="rId7"/>
    <sheet name="Shafts-SC-Tables" sheetId="10" r:id="rId8"/>
    <sheet name="Shafts-Fatigue Tables" sheetId="9" r:id="rId9"/>
    <sheet name="Ball_Roller_Brgs" sheetId="7" r:id="rId10"/>
    <sheet name="MIsc_Tables" sheetId="15" r:id="rId11"/>
  </sheets>
  <definedNames>
    <definedName name="_xlnm._FilterDatabase" localSheetId="9" hidden="1">Ball_Roller_Brgs!$Y$14:$AX$118</definedName>
    <definedName name="solver_eng" localSheetId="9" hidden="1">1</definedName>
    <definedName name="solver_neg" localSheetId="9" hidden="1">1</definedName>
    <definedName name="solver_num" localSheetId="9" hidden="1">0</definedName>
    <definedName name="solver_opt" localSheetId="9" hidden="1">Ball_Roller_Brgs!#REF!</definedName>
    <definedName name="solver_typ" localSheetId="9" hidden="1">1</definedName>
    <definedName name="solver_val" localSheetId="9" hidden="1">0</definedName>
    <definedName name="solver_ver" localSheetId="9" hidden="1">3</definedName>
    <definedName name="Sut">Shafts!$T$24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24" i="6" l="1"/>
  <c r="M23" i="6"/>
  <c r="M22" i="6"/>
  <c r="M21" i="6"/>
  <c r="L32" i="6"/>
  <c r="I32" i="6"/>
  <c r="B34" i="8"/>
  <c r="C34" i="8"/>
  <c r="D34" i="8"/>
  <c r="E34" i="8"/>
  <c r="F34" i="8"/>
  <c r="G34" i="8"/>
  <c r="H34" i="8"/>
  <c r="I34" i="8"/>
  <c r="J34" i="8"/>
  <c r="K34" i="8"/>
  <c r="I31" i="6"/>
  <c r="C17" i="5"/>
  <c r="C16" i="5"/>
  <c r="C15" i="5"/>
  <c r="D40" i="8"/>
  <c r="E40" i="8"/>
  <c r="F40" i="8"/>
  <c r="G40" i="8"/>
  <c r="H40" i="8"/>
  <c r="I40" i="8"/>
  <c r="J40" i="8"/>
  <c r="K40" i="8"/>
  <c r="C40" i="8"/>
  <c r="D39" i="8"/>
  <c r="E39" i="8"/>
  <c r="F39" i="8"/>
  <c r="G39" i="8"/>
  <c r="H39" i="8"/>
  <c r="I39" i="8"/>
  <c r="J39" i="8"/>
  <c r="K39" i="8"/>
  <c r="C39" i="8"/>
  <c r="C40" i="14"/>
  <c r="D40" i="14" s="1"/>
  <c r="E40" i="14" s="1"/>
  <c r="F40" i="14" s="1"/>
  <c r="C28" i="14"/>
  <c r="D28" i="14" s="1"/>
  <c r="C19" i="14"/>
  <c r="B9" i="14"/>
  <c r="B8" i="14"/>
  <c r="D19" i="14" s="1"/>
  <c r="E19" i="14" s="1"/>
  <c r="F19" i="14" s="1"/>
  <c r="U22" i="4"/>
  <c r="U23" i="4"/>
  <c r="H21" i="6" a="1"/>
  <c r="H21" i="6" s="1"/>
  <c r="F20" i="14" l="1"/>
  <c r="J21" i="6"/>
  <c r="I21" i="6"/>
  <c r="K21" i="6"/>
  <c r="AA19" i="6"/>
  <c r="AA15" i="6"/>
  <c r="V30" i="6"/>
  <c r="W30" i="6"/>
  <c r="X30" i="6"/>
  <c r="U30" i="6"/>
  <c r="U29" i="6"/>
  <c r="U28" i="6"/>
  <c r="U27" i="6"/>
  <c r="V23" i="6"/>
  <c r="W23" i="6"/>
  <c r="X23" i="6"/>
  <c r="U23" i="6"/>
  <c r="U22" i="6"/>
  <c r="U19" i="6"/>
  <c r="V17" i="6"/>
  <c r="W17" i="6"/>
  <c r="W10" i="6"/>
  <c r="U10" i="6"/>
  <c r="W9" i="6"/>
  <c r="U9" i="6"/>
  <c r="W7" i="6"/>
  <c r="U7" i="6"/>
  <c r="W6" i="6"/>
  <c r="U6" i="6"/>
  <c r="AG81" i="4"/>
  <c r="AG82" i="4"/>
  <c r="AG83" i="4"/>
  <c r="AG84" i="4"/>
  <c r="AG85" i="4"/>
  <c r="AG90" i="4"/>
  <c r="AG91" i="4"/>
  <c r="P23" i="4"/>
  <c r="P24" i="4" s="1"/>
  <c r="B36" i="2" s="1"/>
  <c r="P22" i="4"/>
  <c r="B34" i="2" s="1"/>
  <c r="J38" i="4"/>
  <c r="J37" i="4"/>
  <c r="G38" i="4"/>
  <c r="G39" i="4"/>
  <c r="G40" i="4"/>
  <c r="G41" i="4"/>
  <c r="G42" i="4"/>
  <c r="G43" i="4"/>
  <c r="G44" i="4"/>
  <c r="G45" i="4"/>
  <c r="G37" i="4"/>
  <c r="E22" i="4"/>
  <c r="F22" i="4"/>
  <c r="G22" i="4"/>
  <c r="D22" i="4"/>
  <c r="D11" i="4"/>
  <c r="AB56" i="4"/>
  <c r="AB54" i="4" s="1"/>
  <c r="AA56" i="4"/>
  <c r="AA54" i="4" s="1"/>
  <c r="F17" i="4" s="1"/>
  <c r="W25" i="6" s="1"/>
  <c r="Z56" i="4"/>
  <c r="Z54" i="4" s="1"/>
  <c r="E17" i="4" s="1"/>
  <c r="V25" i="6" s="1"/>
  <c r="Y56" i="4"/>
  <c r="Y55" i="4" s="1"/>
  <c r="D18" i="4" s="1"/>
  <c r="U26" i="6" s="1"/>
  <c r="J7" i="4"/>
  <c r="J6" i="4"/>
  <c r="AA14" i="6" s="1"/>
  <c r="D20" i="4"/>
  <c r="D19" i="4"/>
  <c r="AB53" i="4"/>
  <c r="AA53" i="4"/>
  <c r="Z53" i="4"/>
  <c r="Y53" i="4" a="1"/>
  <c r="Y53" i="4"/>
  <c r="U36" i="4"/>
  <c r="U43" i="4" s="1"/>
  <c r="B50" i="2" s="1"/>
  <c r="B15" i="14" s="1"/>
  <c r="U37" i="4"/>
  <c r="U38" i="4"/>
  <c r="J10" i="4"/>
  <c r="AA18" i="6" s="1"/>
  <c r="C31" i="14"/>
  <c r="F31" i="14"/>
  <c r="AB47" i="4"/>
  <c r="G10" i="4" s="1"/>
  <c r="X18" i="6" s="1"/>
  <c r="AA47" i="4"/>
  <c r="F10" i="4" s="1"/>
  <c r="W18" i="6" s="1"/>
  <c r="Z47" i="4"/>
  <c r="E10" i="4" s="1"/>
  <c r="V18" i="6" s="1"/>
  <c r="Y47" i="4"/>
  <c r="D10" i="4" s="1"/>
  <c r="U18" i="6" s="1"/>
  <c r="F7" i="5"/>
  <c r="C22" i="14"/>
  <c r="E22" i="14"/>
  <c r="I43" i="6"/>
  <c r="G9" i="4"/>
  <c r="X17" i="6" s="1"/>
  <c r="I55" i="6"/>
  <c r="F9" i="4"/>
  <c r="E9" i="4"/>
  <c r="D9" i="4"/>
  <c r="U17" i="6" s="1"/>
  <c r="AB42" i="4"/>
  <c r="AA41" i="4"/>
  <c r="Z42" i="4"/>
  <c r="Y41" i="4"/>
  <c r="D21" i="4"/>
  <c r="Z32" i="4"/>
  <c r="AA32" i="4"/>
  <c r="AB32" i="4"/>
  <c r="Y32" i="4"/>
  <c r="K42" i="8"/>
  <c r="H42" i="8"/>
  <c r="H41" i="8"/>
  <c r="E41" i="8"/>
  <c r="B29" i="2"/>
  <c r="B28" i="2"/>
  <c r="B27" i="2"/>
  <c r="B26" i="2"/>
  <c r="E15" i="4"/>
  <c r="F15" i="4"/>
  <c r="G15" i="4"/>
  <c r="D15" i="4"/>
  <c r="D21" i="8"/>
  <c r="E21" i="8"/>
  <c r="F21" i="8"/>
  <c r="G21" i="8"/>
  <c r="H21" i="8"/>
  <c r="I21" i="8"/>
  <c r="J21" i="8"/>
  <c r="K21" i="8"/>
  <c r="Z20" i="4"/>
  <c r="Z19" i="4" s="1"/>
  <c r="AA20" i="4"/>
  <c r="AA19" i="4" s="1"/>
  <c r="AB20" i="4"/>
  <c r="AB19" i="4" s="1"/>
  <c r="Y20" i="4"/>
  <c r="Y19" i="4" s="1"/>
  <c r="Y7" i="4" s="1"/>
  <c r="D14" i="4"/>
  <c r="C41" i="8"/>
  <c r="F41" i="8"/>
  <c r="I41" i="8"/>
  <c r="J41" i="8"/>
  <c r="K41" i="8"/>
  <c r="C42" i="8"/>
  <c r="D42" i="8"/>
  <c r="E42" i="8"/>
  <c r="F42" i="8"/>
  <c r="G42" i="8"/>
  <c r="I42" i="8"/>
  <c r="J42" i="8"/>
  <c r="N71" i="5"/>
  <c r="M71" i="5"/>
  <c r="L71" i="5"/>
  <c r="K71" i="5"/>
  <c r="J71" i="5"/>
  <c r="I71" i="5"/>
  <c r="C24" i="8"/>
  <c r="D24" i="8"/>
  <c r="E24" i="8"/>
  <c r="F24" i="8"/>
  <c r="G24" i="8"/>
  <c r="H24" i="8"/>
  <c r="I24" i="8"/>
  <c r="J24" i="8"/>
  <c r="K24" i="8"/>
  <c r="B24" i="8"/>
  <c r="C22" i="8"/>
  <c r="D22" i="8"/>
  <c r="E22" i="8"/>
  <c r="F22" i="8"/>
  <c r="G22" i="8"/>
  <c r="H22" i="8"/>
  <c r="I22" i="8"/>
  <c r="J22" i="8"/>
  <c r="K22" i="8"/>
  <c r="B22" i="8"/>
  <c r="C21" i="8"/>
  <c r="U32" i="4"/>
  <c r="U31" i="4"/>
  <c r="U41" i="4" s="1"/>
  <c r="B48" i="2" s="1"/>
  <c r="B13" i="14" s="1"/>
  <c r="U33" i="4"/>
  <c r="D7" i="7"/>
  <c r="N4" i="5"/>
  <c r="Z34" i="6" s="1"/>
  <c r="M4" i="5"/>
  <c r="Y34" i="6" s="1"/>
  <c r="L4" i="5"/>
  <c r="X34" i="6" s="1"/>
  <c r="K4" i="5"/>
  <c r="W34" i="6" s="1"/>
  <c r="J4" i="5"/>
  <c r="V34" i="6" s="1"/>
  <c r="I4" i="5"/>
  <c r="U34" i="6" s="1"/>
  <c r="N28" i="5"/>
  <c r="M28" i="5"/>
  <c r="L28" i="5"/>
  <c r="K28" i="5"/>
  <c r="J28" i="5"/>
  <c r="I28" i="5"/>
  <c r="I23" i="5"/>
  <c r="U42" i="4"/>
  <c r="W8" i="6" s="1"/>
  <c r="U40" i="4"/>
  <c r="U8" i="6" s="1"/>
  <c r="B21" i="8"/>
  <c r="U19" i="4"/>
  <c r="U18" i="4"/>
  <c r="D41" i="8" l="1"/>
  <c r="G41" i="8"/>
  <c r="AB29" i="4" a="1"/>
  <c r="AB29" i="4" s="1"/>
  <c r="AB25" i="4" s="1"/>
  <c r="G16" i="4" s="1"/>
  <c r="X24" i="6" s="1"/>
  <c r="B49" i="2"/>
  <c r="B14" i="14" s="1"/>
  <c r="Z29" i="4" a="1"/>
  <c r="Z29" i="4" s="1"/>
  <c r="Z25" i="4" s="1"/>
  <c r="E16" i="4" s="1"/>
  <c r="V24" i="6" s="1"/>
  <c r="B47" i="2"/>
  <c r="B12" i="14" s="1"/>
  <c r="V8" i="6"/>
  <c r="X8" i="6"/>
  <c r="X6" i="6"/>
  <c r="AA6" i="6" s="1"/>
  <c r="V6" i="6"/>
  <c r="Z6" i="6" s="1"/>
  <c r="Y54" i="4"/>
  <c r="D17" i="4" s="1"/>
  <c r="U25" i="6" s="1"/>
  <c r="AA55" i="4"/>
  <c r="F18" i="4" s="1"/>
  <c r="W26" i="6" s="1"/>
  <c r="B35" i="2"/>
  <c r="F4" i="5" s="1"/>
  <c r="Z55" i="4"/>
  <c r="E18" i="4" s="1"/>
  <c r="V26" i="6" s="1"/>
  <c r="G17" i="4"/>
  <c r="X25" i="6" s="1"/>
  <c r="J11" i="4"/>
  <c r="AB55" i="4"/>
  <c r="G18" i="4" s="1"/>
  <c r="X26" i="6" s="1"/>
  <c r="AB41" i="4"/>
  <c r="Y42" i="4"/>
  <c r="Y29" i="4" a="1"/>
  <c r="Y29" i="4" s="1"/>
  <c r="Y25" i="4" s="1"/>
  <c r="D16" i="4" s="1"/>
  <c r="U24" i="6" s="1"/>
  <c r="Z41" i="4"/>
  <c r="AA29" i="4" a="1"/>
  <c r="AA29" i="4" s="1"/>
  <c r="AA25" i="4" s="1"/>
  <c r="AA42" i="4"/>
  <c r="E30" i="8"/>
  <c r="D30" i="8"/>
  <c r="H30" i="8"/>
  <c r="U46" i="4"/>
  <c r="Y5" i="4"/>
  <c r="Y9" i="4" s="1"/>
  <c r="U47" i="4"/>
  <c r="Y6" i="4"/>
  <c r="B12" i="8"/>
  <c r="B10" i="8"/>
  <c r="B42" i="8"/>
  <c r="B41" i="8"/>
  <c r="AB6" i="6" l="1"/>
  <c r="C12" i="8"/>
  <c r="D12" i="8" s="1"/>
  <c r="E12" i="8" s="1"/>
  <c r="F12" i="8" s="1"/>
  <c r="G12" i="8" s="1"/>
  <c r="H12" i="8" s="1"/>
  <c r="I12" i="8" s="1"/>
  <c r="J12" i="8" s="1"/>
  <c r="K12" i="8" s="1"/>
  <c r="B3" i="2"/>
  <c r="H23" i="6"/>
  <c r="C10" i="8"/>
  <c r="D10" i="8" s="1"/>
  <c r="E10" i="8" s="1"/>
  <c r="F10" i="8" s="1"/>
  <c r="G10" i="8" s="1"/>
  <c r="H10" i="8" s="1"/>
  <c r="I10" i="8" s="1"/>
  <c r="J10" i="8" s="1"/>
  <c r="K10" i="8" s="1"/>
  <c r="H22" i="6"/>
  <c r="B2" i="2"/>
  <c r="Z18" i="4"/>
  <c r="E13" i="4" s="1"/>
  <c r="V21" i="6" s="1"/>
  <c r="Y18" i="4"/>
  <c r="D13" i="4" s="1"/>
  <c r="U21" i="6" s="1"/>
  <c r="F16" i="4"/>
  <c r="W24" i="6" s="1"/>
  <c r="AB18" i="4"/>
  <c r="G13" i="4" s="1"/>
  <c r="X21" i="6" s="1"/>
  <c r="AA18" i="4"/>
  <c r="F13" i="4" s="1"/>
  <c r="W21" i="6" s="1"/>
  <c r="Y10" i="4"/>
  <c r="F12" i="4"/>
  <c r="W20" i="6" s="1"/>
  <c r="D12" i="4"/>
  <c r="U20" i="6" s="1"/>
  <c r="U45" i="4"/>
  <c r="B9" i="2" s="1"/>
  <c r="B11" i="14" s="1"/>
  <c r="B18" i="8"/>
  <c r="J23" i="5"/>
  <c r="K23" i="5"/>
  <c r="L23" i="5"/>
  <c r="M23" i="5"/>
  <c r="N23" i="5"/>
  <c r="B20" i="8"/>
  <c r="B13" i="8"/>
  <c r="C13" i="8" s="1"/>
  <c r="B11" i="8"/>
  <c r="C11" i="8" s="1"/>
  <c r="D11" i="8" s="1"/>
  <c r="E11" i="8" s="1"/>
  <c r="F11" i="8" s="1"/>
  <c r="G11" i="8" s="1"/>
  <c r="H11" i="8" s="1"/>
  <c r="I11" i="8" s="1"/>
  <c r="J11" i="8" s="1"/>
  <c r="K11" i="8" s="1"/>
  <c r="E9" i="7" a="1"/>
  <c r="E9" i="7" s="1"/>
  <c r="F9" i="7" a="1"/>
  <c r="F9" i="7" s="1"/>
  <c r="G9" i="7" a="1"/>
  <c r="G9" i="7" s="1"/>
  <c r="B16" i="7"/>
  <c r="B14" i="7"/>
  <c r="B17" i="7"/>
  <c r="B20" i="7"/>
  <c r="B25" i="7"/>
  <c r="B27" i="7"/>
  <c r="B15" i="7"/>
  <c r="B23" i="7"/>
  <c r="B28" i="7"/>
  <c r="B34" i="7"/>
  <c r="B18" i="7"/>
  <c r="B24" i="7"/>
  <c r="B35" i="7"/>
  <c r="B19" i="7"/>
  <c r="B26" i="7"/>
  <c r="B36" i="7"/>
  <c r="B40" i="7"/>
  <c r="B21" i="7"/>
  <c r="B29" i="7"/>
  <c r="B41" i="7"/>
  <c r="B43" i="7"/>
  <c r="B22" i="7"/>
  <c r="B37" i="7"/>
  <c r="B42" i="7"/>
  <c r="B51" i="7"/>
  <c r="B30" i="7"/>
  <c r="B38" i="7"/>
  <c r="B52" i="7"/>
  <c r="B53" i="7"/>
  <c r="B56" i="7"/>
  <c r="B70" i="7"/>
  <c r="B31" i="7"/>
  <c r="B39" i="7"/>
  <c r="B55" i="7"/>
  <c r="B54" i="7"/>
  <c r="B67" i="7"/>
  <c r="B74" i="7"/>
  <c r="B32" i="7"/>
  <c r="B45" i="7"/>
  <c r="B57" i="7"/>
  <c r="B58" i="7"/>
  <c r="B69" i="7"/>
  <c r="B80" i="7"/>
  <c r="B33" i="7"/>
  <c r="B50" i="7"/>
  <c r="B59" i="7"/>
  <c r="B61" i="7"/>
  <c r="B72" i="7"/>
  <c r="B76" i="7"/>
  <c r="B92" i="7"/>
  <c r="B119" i="7"/>
  <c r="B44" i="7"/>
  <c r="B60" i="7"/>
  <c r="B65" i="7"/>
  <c r="B73" i="7"/>
  <c r="B86" i="7"/>
  <c r="B95" i="7"/>
  <c r="B101" i="7"/>
  <c r="B107" i="7"/>
  <c r="B135" i="7"/>
  <c r="B91" i="7"/>
  <c r="B108" i="7"/>
  <c r="B46" i="7"/>
  <c r="B64" i="7"/>
  <c r="B68" i="7"/>
  <c r="B79" i="7"/>
  <c r="B94" i="7"/>
  <c r="B105" i="7"/>
  <c r="B121" i="7"/>
  <c r="B126" i="7"/>
  <c r="B148" i="7"/>
  <c r="B102" i="7"/>
  <c r="B125" i="7"/>
  <c r="B48" i="7"/>
  <c r="B66" i="7"/>
  <c r="B77" i="7"/>
  <c r="B89" i="7"/>
  <c r="B113" i="7"/>
  <c r="B120" i="7"/>
  <c r="B132" i="7"/>
  <c r="B140" i="7"/>
  <c r="B158" i="7"/>
  <c r="B47" i="7"/>
  <c r="B75" i="7"/>
  <c r="B84" i="7"/>
  <c r="B100" i="7"/>
  <c r="B127" i="7"/>
  <c r="B136" i="7"/>
  <c r="B145" i="7"/>
  <c r="B170" i="7"/>
  <c r="B49" i="7"/>
  <c r="B88" i="7"/>
  <c r="B87" i="7"/>
  <c r="B106" i="7"/>
  <c r="B139" i="7"/>
  <c r="B147" i="7"/>
  <c r="B155" i="7"/>
  <c r="B181" i="7"/>
  <c r="B62" i="7"/>
  <c r="B90" i="7"/>
  <c r="B96" i="7"/>
  <c r="B116" i="7"/>
  <c r="B144" i="7"/>
  <c r="B171" i="7"/>
  <c r="B190" i="7"/>
  <c r="B63" i="7"/>
  <c r="B93" i="7"/>
  <c r="B99" i="7"/>
  <c r="B118" i="7"/>
  <c r="B149" i="7"/>
  <c r="B183" i="7"/>
  <c r="B196" i="7"/>
  <c r="B71" i="7"/>
  <c r="B97" i="7"/>
  <c r="B112" i="7"/>
  <c r="B131" i="7"/>
  <c r="B162" i="7"/>
  <c r="B188" i="7"/>
  <c r="B205" i="7"/>
  <c r="B78" i="7"/>
  <c r="B98" i="7"/>
  <c r="B114" i="7"/>
  <c r="B134" i="7"/>
  <c r="B168" i="7"/>
  <c r="B194" i="7"/>
  <c r="B207" i="7"/>
  <c r="B81" i="7"/>
  <c r="B103" i="7"/>
  <c r="B117" i="7"/>
  <c r="B137" i="7"/>
  <c r="B172" i="7"/>
  <c r="B203" i="7"/>
  <c r="B215" i="7"/>
  <c r="B82" i="7"/>
  <c r="B122" i="7"/>
  <c r="B129" i="7"/>
  <c r="B152" i="7"/>
  <c r="B178" i="7"/>
  <c r="B209" i="7"/>
  <c r="B224" i="7"/>
  <c r="B83" i="7"/>
  <c r="B123" i="7"/>
  <c r="B133" i="7"/>
  <c r="B153" i="7"/>
  <c r="B186" i="7"/>
  <c r="B216" i="7"/>
  <c r="B228" i="7"/>
  <c r="B85" i="7"/>
  <c r="B124" i="7"/>
  <c r="B143" i="7"/>
  <c r="B165" i="7"/>
  <c r="B187" i="7"/>
  <c r="B219" i="7"/>
  <c r="B231" i="7"/>
  <c r="B109" i="7"/>
  <c r="B138" i="7"/>
  <c r="B146" i="7"/>
  <c r="B166" i="7"/>
  <c r="B195" i="7"/>
  <c r="B222" i="7"/>
  <c r="B237" i="7"/>
  <c r="B110" i="7"/>
  <c r="B141" i="7"/>
  <c r="B156" i="7"/>
  <c r="B174" i="7"/>
  <c r="B206" i="7"/>
  <c r="B227" i="7"/>
  <c r="B240" i="7"/>
  <c r="B111" i="7"/>
  <c r="B142" i="7"/>
  <c r="B160" i="7"/>
  <c r="B179" i="7"/>
  <c r="B211" i="7"/>
  <c r="B230" i="7"/>
  <c r="B104" i="7"/>
  <c r="B154" i="7"/>
  <c r="B161" i="7"/>
  <c r="B180" i="7"/>
  <c r="B218" i="7"/>
  <c r="B236" i="7"/>
  <c r="B115" i="7"/>
  <c r="B159" i="7"/>
  <c r="B167" i="7"/>
  <c r="B189" i="7"/>
  <c r="B221" i="7"/>
  <c r="B238" i="7"/>
  <c r="B128" i="7"/>
  <c r="B157" i="7"/>
  <c r="B173" i="7"/>
  <c r="B193" i="7"/>
  <c r="B226" i="7"/>
  <c r="B243" i="7"/>
  <c r="B130" i="7"/>
  <c r="B169" i="7"/>
  <c r="B177" i="7"/>
  <c r="B197" i="7"/>
  <c r="B225" i="7"/>
  <c r="B244" i="7"/>
  <c r="B150" i="7"/>
  <c r="B182" i="7"/>
  <c r="B192" i="7"/>
  <c r="B210" i="7"/>
  <c r="B229" i="7"/>
  <c r="B249" i="7"/>
  <c r="B250" i="7"/>
  <c r="B151" i="7"/>
  <c r="B184" i="7"/>
  <c r="B185" i="7"/>
  <c r="B191" i="7"/>
  <c r="B208" i="7"/>
  <c r="B232" i="7"/>
  <c r="B251" i="7"/>
  <c r="B252" i="7"/>
  <c r="B163" i="7"/>
  <c r="B198" i="7"/>
  <c r="B199" i="7"/>
  <c r="B217" i="7"/>
  <c r="B235" i="7"/>
  <c r="B253" i="7"/>
  <c r="B254" i="7"/>
  <c r="B164" i="7"/>
  <c r="B200" i="7"/>
  <c r="B201" i="7"/>
  <c r="B204" i="7"/>
  <c r="B223" i="7"/>
  <c r="B239" i="7"/>
  <c r="B255" i="7"/>
  <c r="B256" i="7"/>
  <c r="B175" i="7"/>
  <c r="B202" i="7"/>
  <c r="B212" i="7"/>
  <c r="B233" i="7"/>
  <c r="B234" i="7"/>
  <c r="B245" i="7"/>
  <c r="B246" i="7"/>
  <c r="B257" i="7"/>
  <c r="B258" i="7"/>
  <c r="B176" i="7"/>
  <c r="B213" i="7"/>
  <c r="B214" i="7"/>
  <c r="B220" i="7"/>
  <c r="B241" i="7"/>
  <c r="B242" i="7"/>
  <c r="B247" i="7"/>
  <c r="B248" i="7"/>
  <c r="B259" i="7"/>
  <c r="B260" i="7"/>
  <c r="AE5" i="15"/>
  <c r="AE6" i="15"/>
  <c r="AE7" i="15"/>
  <c r="AE8" i="15"/>
  <c r="AE9" i="15"/>
  <c r="AE10" i="15"/>
  <c r="AE11" i="15"/>
  <c r="AE12" i="15"/>
  <c r="AE13" i="15"/>
  <c r="AE14" i="15"/>
  <c r="AE15" i="15"/>
  <c r="AE16" i="15"/>
  <c r="AE17" i="15"/>
  <c r="AE18" i="15"/>
  <c r="AE19" i="15"/>
  <c r="AE20" i="15"/>
  <c r="AE21" i="15"/>
  <c r="AE22" i="15"/>
  <c r="AE23" i="15"/>
  <c r="AE24" i="15"/>
  <c r="AE25" i="15"/>
  <c r="AE26" i="15"/>
  <c r="M27" i="15"/>
  <c r="AE27" i="15"/>
  <c r="M28" i="15"/>
  <c r="AE28" i="15"/>
  <c r="M29" i="15"/>
  <c r="AE29" i="15"/>
  <c r="M30" i="15"/>
  <c r="AE30" i="15"/>
  <c r="M31" i="15"/>
  <c r="AE31" i="15"/>
  <c r="AE32" i="15"/>
  <c r="AE33" i="15"/>
  <c r="AE34" i="15"/>
  <c r="AE35" i="15"/>
  <c r="M36" i="15"/>
  <c r="AE36" i="15"/>
  <c r="M37" i="15"/>
  <c r="AE37" i="15"/>
  <c r="AE38" i="15"/>
  <c r="AE39" i="15"/>
  <c r="AE40" i="15"/>
  <c r="AE41" i="15"/>
  <c r="AE42" i="15"/>
  <c r="AE43" i="15"/>
  <c r="AE44" i="15"/>
  <c r="AE45" i="15"/>
  <c r="AE46" i="15"/>
  <c r="AE47" i="15"/>
  <c r="P6" i="4" l="1"/>
  <c r="E4" i="4" s="1"/>
  <c r="V12" i="6" s="1"/>
  <c r="Z50" i="4"/>
  <c r="Y50" i="4"/>
  <c r="Y49" i="4"/>
  <c r="Z49" i="4"/>
  <c r="P8" i="4"/>
  <c r="Q8" i="4" s="1"/>
  <c r="O8" i="4" s="1"/>
  <c r="AB49" i="4"/>
  <c r="AB50" i="4"/>
  <c r="AA50" i="4"/>
  <c r="AA49" i="4"/>
  <c r="P7" i="4"/>
  <c r="F4" i="4" s="1"/>
  <c r="W12" i="6" s="1"/>
  <c r="P5" i="4"/>
  <c r="Q5" i="4" s="1"/>
  <c r="B12" i="2" s="1"/>
  <c r="D21" i="14" s="1"/>
  <c r="F21" i="14" s="1"/>
  <c r="B21" i="14" s="1"/>
  <c r="Q6" i="4"/>
  <c r="O6" i="4" s="1"/>
  <c r="D13" i="8"/>
  <c r="B19" i="8"/>
  <c r="K18" i="8"/>
  <c r="K19" i="8" s="1"/>
  <c r="D18" i="8"/>
  <c r="D19" i="8" s="1"/>
  <c r="E18" i="8"/>
  <c r="E19" i="8" s="1"/>
  <c r="C18" i="8"/>
  <c r="C19" i="8" s="1"/>
  <c r="F18" i="8"/>
  <c r="F19" i="8" s="1"/>
  <c r="G18" i="8"/>
  <c r="G19" i="8" s="1"/>
  <c r="J18" i="8"/>
  <c r="J19" i="8" s="1"/>
  <c r="H18" i="8"/>
  <c r="H19" i="8" s="1"/>
  <c r="I18" i="8"/>
  <c r="I19" i="8" s="1"/>
  <c r="G20" i="8"/>
  <c r="H20" i="8"/>
  <c r="I20" i="8"/>
  <c r="J20" i="8"/>
  <c r="K20" i="8"/>
  <c r="C20" i="8"/>
  <c r="D20" i="8"/>
  <c r="E20" i="8"/>
  <c r="F20" i="8"/>
  <c r="B11" i="2"/>
  <c r="E37" i="14" s="1"/>
  <c r="B25" i="8"/>
  <c r="B60" i="2" l="1"/>
  <c r="H24" i="6"/>
  <c r="G7" i="4"/>
  <c r="X15" i="6" s="1"/>
  <c r="AB65" i="4"/>
  <c r="G8" i="4" s="1"/>
  <c r="X16" i="6" s="1"/>
  <c r="G5" i="4"/>
  <c r="X13" i="6" s="1"/>
  <c r="AB64" i="4"/>
  <c r="G6" i="4" s="1"/>
  <c r="X14" i="6" s="1"/>
  <c r="E5" i="4"/>
  <c r="V13" i="6" s="1"/>
  <c r="Z64" i="4"/>
  <c r="E6" i="4" s="1"/>
  <c r="V14" i="6" s="1"/>
  <c r="D5" i="4"/>
  <c r="U13" i="6" s="1"/>
  <c r="Y64" i="4"/>
  <c r="D6" i="4" s="1"/>
  <c r="U14" i="6" s="1"/>
  <c r="E7" i="4"/>
  <c r="V15" i="6" s="1"/>
  <c r="Z65" i="4"/>
  <c r="E8" i="4" s="1"/>
  <c r="V16" i="6" s="1"/>
  <c r="D7" i="4"/>
  <c r="U15" i="6" s="1"/>
  <c r="Y65" i="4"/>
  <c r="D8" i="4" s="1"/>
  <c r="U16" i="6" s="1"/>
  <c r="F5" i="4"/>
  <c r="W13" i="6" s="1"/>
  <c r="AA64" i="4"/>
  <c r="F6" i="4" s="1"/>
  <c r="W14" i="6" s="1"/>
  <c r="F7" i="4"/>
  <c r="W15" i="6" s="1"/>
  <c r="AA65" i="4"/>
  <c r="F8" i="4" s="1"/>
  <c r="W16" i="6" s="1"/>
  <c r="Q7" i="4"/>
  <c r="B13" i="2" s="1"/>
  <c r="E30" i="14" s="1"/>
  <c r="G4" i="4"/>
  <c r="X12" i="6" s="1"/>
  <c r="D30" i="14"/>
  <c r="B10" i="2"/>
  <c r="D4" i="4"/>
  <c r="U12" i="6" s="1"/>
  <c r="B26" i="8"/>
  <c r="B46" i="8" s="1"/>
  <c r="B48" i="8" s="1"/>
  <c r="E25" i="8"/>
  <c r="K25" i="8"/>
  <c r="D25" i="8"/>
  <c r="F25" i="8"/>
  <c r="J25" i="8"/>
  <c r="G25" i="8"/>
  <c r="H25" i="8"/>
  <c r="I25" i="8"/>
  <c r="C25" i="8"/>
  <c r="E13" i="8"/>
  <c r="O5" i="4"/>
  <c r="F5" i="5"/>
  <c r="M24" i="5" s="1"/>
  <c r="K24" i="5"/>
  <c r="F3" i="5"/>
  <c r="I24" i="5" s="1"/>
  <c r="AD9" i="7" a="1"/>
  <c r="AD9" i="7" s="1"/>
  <c r="AC9" i="7" a="1"/>
  <c r="AC9" i="7" s="1"/>
  <c r="AB9" i="7" a="1"/>
  <c r="AB9" i="7" s="1"/>
  <c r="AD7" i="7"/>
  <c r="AC7" i="7"/>
  <c r="AB7" i="7"/>
  <c r="AA7" i="7"/>
  <c r="Z7" i="7"/>
  <c r="E29" i="14" l="1"/>
  <c r="D41" i="14" s="1"/>
  <c r="D20" i="14"/>
  <c r="D37" i="14"/>
  <c r="B52" i="2" s="1"/>
  <c r="O7" i="4"/>
  <c r="D42" i="14"/>
  <c r="F13" i="8"/>
  <c r="K26" i="8"/>
  <c r="C26" i="8"/>
  <c r="C46" i="8" s="1"/>
  <c r="G26" i="8"/>
  <c r="J26" i="8"/>
  <c r="H26" i="8"/>
  <c r="D26" i="8"/>
  <c r="E26" i="8"/>
  <c r="F26" i="8"/>
  <c r="I26" i="8"/>
  <c r="N24" i="5"/>
  <c r="J24" i="5"/>
  <c r="L24" i="5"/>
  <c r="F7" i="7"/>
  <c r="C7" i="7"/>
  <c r="E7" i="7"/>
  <c r="G7" i="7"/>
  <c r="F41" i="14" l="1"/>
  <c r="F22" i="14"/>
  <c r="B61" i="2" s="1"/>
  <c r="C10" i="5" s="1"/>
  <c r="F42" i="14"/>
  <c r="B42" i="14" s="1"/>
  <c r="G6" i="8"/>
  <c r="G30" i="8" s="1"/>
  <c r="F6" i="8"/>
  <c r="F30" i="8" s="1"/>
  <c r="D29" i="14"/>
  <c r="D31" i="14" s="1"/>
  <c r="D24" i="14"/>
  <c r="B51" i="2" s="1"/>
  <c r="D45" i="14"/>
  <c r="B53" i="2" s="1"/>
  <c r="E31" i="14"/>
  <c r="G13" i="8"/>
  <c r="F43" i="14" l="1"/>
  <c r="B62" i="2" s="1"/>
  <c r="C14" i="5" s="1"/>
  <c r="B41" i="14"/>
  <c r="B43" i="14" s="1"/>
  <c r="B31" i="2" s="1"/>
  <c r="B20" i="14"/>
  <c r="B22" i="14" s="1"/>
  <c r="B6" i="8"/>
  <c r="B30" i="8" s="1"/>
  <c r="C6" i="8"/>
  <c r="C30" i="8" s="1"/>
  <c r="K6" i="8"/>
  <c r="J6" i="8"/>
  <c r="J30" i="8" s="1"/>
  <c r="H13" i="8"/>
  <c r="K30" i="8" l="1"/>
  <c r="I6" i="8"/>
  <c r="I30" i="8" s="1"/>
  <c r="D23" i="14"/>
  <c r="E23" i="14" s="1"/>
  <c r="C23" i="14"/>
  <c r="D22" i="14"/>
  <c r="D43" i="14"/>
  <c r="D44" i="14"/>
  <c r="C44" i="14"/>
  <c r="B44" i="2" s="1"/>
  <c r="I3" i="8" s="1"/>
  <c r="N25" i="5"/>
  <c r="C13" i="5"/>
  <c r="M25" i="5" s="1"/>
  <c r="N3" i="5"/>
  <c r="Z33" i="6" s="1"/>
  <c r="N32" i="5"/>
  <c r="I13" i="8"/>
  <c r="M32" i="5" l="1"/>
  <c r="M3" i="5"/>
  <c r="Y33" i="6" s="1"/>
  <c r="E44" i="14"/>
  <c r="B46" i="2" s="1"/>
  <c r="K3" i="8" s="1"/>
  <c r="B45" i="2"/>
  <c r="J3" i="8" s="1"/>
  <c r="I29" i="8"/>
  <c r="I46" i="8" s="1"/>
  <c r="J13" i="8"/>
  <c r="K29" i="8" l="1"/>
  <c r="J29" i="8"/>
  <c r="J46" i="8" s="1"/>
  <c r="I45" i="8"/>
  <c r="K13" i="8"/>
  <c r="K46" i="8" l="1"/>
  <c r="K48" i="8" s="1"/>
  <c r="I48" i="8"/>
  <c r="I51" i="8"/>
  <c r="I52" i="8" s="1"/>
  <c r="K51" i="8"/>
  <c r="K52" i="8" s="1"/>
  <c r="K45" i="8"/>
  <c r="J45" i="8"/>
  <c r="J48" i="8"/>
  <c r="I47" i="8"/>
  <c r="B58" i="2"/>
  <c r="C22" i="5" s="1"/>
  <c r="M26" i="5" s="1" a="1"/>
  <c r="M26" i="5" s="1"/>
  <c r="M29" i="5" s="1" a="1"/>
  <c r="M29" i="5" s="1"/>
  <c r="M30" i="5" s="1"/>
  <c r="M31" i="5" s="1"/>
  <c r="K47" i="8"/>
  <c r="B59" i="2"/>
  <c r="C23" i="5" s="1"/>
  <c r="N26" i="5" s="1" a="1"/>
  <c r="N26" i="5" s="1"/>
  <c r="N29" i="5" s="1" a="1"/>
  <c r="N29" i="5" s="1"/>
  <c r="N30" i="5" s="1"/>
  <c r="N31" i="5" s="1"/>
  <c r="K53" i="8" l="1"/>
  <c r="I53" i="8"/>
  <c r="J51" i="8"/>
  <c r="J52" i="8" s="1"/>
  <c r="J47" i="8"/>
  <c r="K32" i="6"/>
  <c r="J32" i="6"/>
  <c r="M34" i="5"/>
  <c r="M33" i="5"/>
  <c r="N33" i="5"/>
  <c r="N34" i="5"/>
  <c r="J53" i="8" l="1"/>
  <c r="M35" i="5"/>
  <c r="M36" i="5" s="1"/>
  <c r="M37" i="5" s="1" a="1"/>
  <c r="M37" i="5" s="1"/>
  <c r="M38" i="5" s="1" a="1"/>
  <c r="M38" i="5" s="1"/>
  <c r="M39" i="5" s="1"/>
  <c r="M40" i="5" s="1"/>
  <c r="M42" i="5" s="1"/>
  <c r="N35" i="5"/>
  <c r="N36" i="5" s="1"/>
  <c r="N37" i="5" s="1" a="1"/>
  <c r="N37" i="5" s="1"/>
  <c r="N38" i="5" s="1"/>
  <c r="N39" i="5" s="1"/>
  <c r="N40" i="5" s="1"/>
  <c r="M41" i="5" l="1"/>
  <c r="M43" i="5" s="1"/>
  <c r="M44" i="5" s="1"/>
  <c r="M45" i="5" s="1" a="1"/>
  <c r="M45" i="5" s="1"/>
  <c r="M46" i="5" s="1" a="1"/>
  <c r="M46" i="5" s="1"/>
  <c r="M47" i="5" s="1"/>
  <c r="M48" i="5" s="1"/>
  <c r="M50" i="5" s="1"/>
  <c r="N41" i="5"/>
  <c r="N42" i="5"/>
  <c r="M49" i="5" l="1"/>
  <c r="M51" i="5" s="1"/>
  <c r="M52" i="5" s="1"/>
  <c r="M53" i="5" s="1" a="1"/>
  <c r="M53" i="5" s="1"/>
  <c r="M54" i="5" s="1" a="1"/>
  <c r="M54" i="5" s="1"/>
  <c r="M55" i="5" s="1"/>
  <c r="M56" i="5" s="1"/>
  <c r="N43" i="5"/>
  <c r="N44" i="5" s="1"/>
  <c r="N45" i="5" s="1" a="1"/>
  <c r="N45" i="5" s="1"/>
  <c r="N46" i="5" s="1" a="1"/>
  <c r="N46" i="5" s="1"/>
  <c r="N47" i="5" s="1"/>
  <c r="N48" i="5" s="1"/>
  <c r="N49" i="5" l="1"/>
  <c r="N50" i="5"/>
  <c r="M58" i="5"/>
  <c r="M57" i="5"/>
  <c r="N51" i="5" l="1"/>
  <c r="N52" i="5" s="1"/>
  <c r="N53" i="5" s="1" a="1"/>
  <c r="N53" i="5" s="1"/>
  <c r="N54" i="5" s="1" a="1"/>
  <c r="N54" i="5" s="1"/>
  <c r="N55" i="5" s="1"/>
  <c r="N56" i="5" s="1"/>
  <c r="N57" i="5" s="1"/>
  <c r="M59" i="5"/>
  <c r="N58" i="5" l="1"/>
  <c r="N59" i="5" s="1"/>
  <c r="N60" i="5" s="1"/>
  <c r="N61" i="5" s="1" a="1"/>
  <c r="N61" i="5" s="1"/>
  <c r="N62" i="5" s="1" a="1"/>
  <c r="N62" i="5" s="1"/>
  <c r="N63" i="5" s="1"/>
  <c r="N64" i="5" s="1"/>
  <c r="M60" i="5"/>
  <c r="M61" i="5" s="1" a="1"/>
  <c r="M61" i="5" s="1"/>
  <c r="M62" i="5" s="1" a="1"/>
  <c r="M62" i="5" s="1"/>
  <c r="M63" i="5" s="1"/>
  <c r="M64" i="5" s="1"/>
  <c r="M65" i="5" l="1"/>
  <c r="M66" i="5"/>
  <c r="N66" i="5"/>
  <c r="N65" i="5"/>
  <c r="N67" i="5" l="1"/>
  <c r="N68" i="5" s="1"/>
  <c r="N69" i="5" s="1" a="1"/>
  <c r="N69" i="5" s="1"/>
  <c r="M67" i="5"/>
  <c r="M68" i="5" s="1"/>
  <c r="M69" i="5" s="1" a="1"/>
  <c r="M69" i="5" s="1"/>
  <c r="M72" i="5" s="1"/>
  <c r="N72" i="5" l="1"/>
  <c r="N8" i="5" s="1"/>
  <c r="Z38" i="6" s="1"/>
  <c r="M8" i="5"/>
  <c r="M7" i="5" s="1"/>
  <c r="N7" i="5" l="1"/>
  <c r="B19" i="2" s="1"/>
  <c r="O4" i="14" s="1"/>
  <c r="N5" i="5"/>
  <c r="B25" i="2" s="1"/>
  <c r="N6" i="5"/>
  <c r="Z36" i="6" s="1"/>
  <c r="Y38" i="6"/>
  <c r="B18" i="2"/>
  <c r="N4" i="14" s="1"/>
  <c r="M6" i="5"/>
  <c r="Y36" i="6" s="1"/>
  <c r="Y37" i="6"/>
  <c r="M5" i="5"/>
  <c r="Y35" i="6" s="1"/>
  <c r="Z37" i="6" l="1"/>
  <c r="Z35" i="6"/>
  <c r="B24" i="2"/>
  <c r="E28" i="14" l="1"/>
  <c r="F28" i="14" s="1"/>
  <c r="G28" i="14" s="1"/>
  <c r="B38" i="2" l="1"/>
  <c r="C3" i="8" s="1"/>
  <c r="G30" i="14"/>
  <c r="B30" i="14" s="1"/>
  <c r="C33" i="14" s="1"/>
  <c r="D33" i="14" s="1"/>
  <c r="G29" i="14"/>
  <c r="B37" i="2"/>
  <c r="B3" i="8" s="1"/>
  <c r="B39" i="2" l="1"/>
  <c r="D3" i="8" s="1"/>
  <c r="C29" i="8"/>
  <c r="C45" i="8" s="1"/>
  <c r="B29" i="14"/>
  <c r="G31" i="14"/>
  <c r="B33" i="2" s="1"/>
  <c r="C12" i="5" s="1"/>
  <c r="B29" i="8"/>
  <c r="E33" i="14"/>
  <c r="F33" i="14" s="1"/>
  <c r="D35" i="14"/>
  <c r="B51" i="8" l="1"/>
  <c r="B52" i="8" s="1"/>
  <c r="C48" i="8"/>
  <c r="D29" i="8"/>
  <c r="B30" i="2"/>
  <c r="C9" i="5" s="1"/>
  <c r="E35" i="14"/>
  <c r="L3" i="5"/>
  <c r="X33" i="6" s="1"/>
  <c r="L32" i="5"/>
  <c r="L25" i="5"/>
  <c r="B54" i="2"/>
  <c r="C18" i="5" s="1"/>
  <c r="I56" i="6"/>
  <c r="G33" i="14"/>
  <c r="B33" i="14" s="1"/>
  <c r="B45" i="8"/>
  <c r="B47" i="8"/>
  <c r="B31" i="14"/>
  <c r="B32" i="2" s="1"/>
  <c r="C11" i="5" s="1"/>
  <c r="C32" i="14"/>
  <c r="D32" i="14" s="1"/>
  <c r="D46" i="8" l="1"/>
  <c r="B53" i="8"/>
  <c r="C47" i="8"/>
  <c r="C51" i="8"/>
  <c r="J56" i="6"/>
  <c r="K56" i="6"/>
  <c r="D45" i="8"/>
  <c r="K3" i="5"/>
  <c r="W33" i="6" s="1"/>
  <c r="K32" i="5"/>
  <c r="K25" i="5"/>
  <c r="B55" i="2"/>
  <c r="C19" i="5" s="1"/>
  <c r="D34" i="14"/>
  <c r="E32" i="14"/>
  <c r="F32" i="14" s="1"/>
  <c r="D51" i="8" l="1"/>
  <c r="D53" i="8" s="1"/>
  <c r="L56" i="6"/>
  <c r="D47" i="8"/>
  <c r="D48" i="8"/>
  <c r="I3" i="5"/>
  <c r="U33" i="6" s="1"/>
  <c r="I25" i="5"/>
  <c r="I26" i="5" s="1" a="1"/>
  <c r="I26" i="5" s="1"/>
  <c r="I29" i="5" s="1" a="1"/>
  <c r="I29" i="5" s="1"/>
  <c r="I30" i="5" s="1"/>
  <c r="I31" i="5" s="1"/>
  <c r="I32" i="5"/>
  <c r="J32" i="5"/>
  <c r="J3" i="5"/>
  <c r="V33" i="6" s="1"/>
  <c r="J25" i="5"/>
  <c r="J26" i="5" s="1" a="1"/>
  <c r="J26" i="5" s="1"/>
  <c r="J29" i="5" s="1" a="1"/>
  <c r="J29" i="5" s="1"/>
  <c r="J30" i="5" s="1"/>
  <c r="J31" i="5" s="1"/>
  <c r="G32" i="14"/>
  <c r="B32" i="14" s="1"/>
  <c r="D36" i="14"/>
  <c r="C36" i="14" s="1"/>
  <c r="E34" i="14"/>
  <c r="E36" i="14" s="1"/>
  <c r="F36" i="14" s="1"/>
  <c r="J33" i="5" l="1"/>
  <c r="D52" i="8"/>
  <c r="I34" i="5"/>
  <c r="J34" i="5"/>
  <c r="J35" i="5" s="1"/>
  <c r="J36" i="5" s="1"/>
  <c r="J37" i="5" s="1" a="1"/>
  <c r="J37" i="5" s="1"/>
  <c r="J38" i="5" s="1" a="1"/>
  <c r="J38" i="5" s="1"/>
  <c r="J39" i="5" s="1"/>
  <c r="J40" i="5" s="1"/>
  <c r="J41" i="5" s="1"/>
  <c r="I33" i="5"/>
  <c r="B42" i="2"/>
  <c r="G3" i="8" s="1"/>
  <c r="B43" i="2"/>
  <c r="H3" i="8" s="1"/>
  <c r="B41" i="2"/>
  <c r="F3" i="8" s="1"/>
  <c r="B40" i="2"/>
  <c r="E3" i="8" s="1"/>
  <c r="I35" i="5" l="1"/>
  <c r="I36" i="5" s="1"/>
  <c r="I37" i="5" s="1" a="1"/>
  <c r="I37" i="5" s="1"/>
  <c r="I38" i="5" s="1" a="1"/>
  <c r="I38" i="5" s="1"/>
  <c r="I39" i="5" s="1"/>
  <c r="I40" i="5" s="1"/>
  <c r="I41" i="5" s="1"/>
  <c r="J42" i="5"/>
  <c r="J43" i="5" s="1"/>
  <c r="J44" i="5" s="1"/>
  <c r="J45" i="5" s="1" a="1"/>
  <c r="J45" i="5" s="1"/>
  <c r="J46" i="5" s="1" a="1"/>
  <c r="J46" i="5" s="1"/>
  <c r="J47" i="5" s="1"/>
  <c r="J48" i="5" s="1"/>
  <c r="J49" i="5" s="1"/>
  <c r="E29" i="8"/>
  <c r="E46" i="8" s="1"/>
  <c r="I44" i="6" s="1"/>
  <c r="F29" i="8"/>
  <c r="F46" i="8" s="1"/>
  <c r="J44" i="6" s="1"/>
  <c r="H29" i="8"/>
  <c r="H46" i="8" s="1"/>
  <c r="G29" i="8"/>
  <c r="G46" i="8" s="1"/>
  <c r="I42" i="5" l="1"/>
  <c r="I43" i="5" s="1"/>
  <c r="I44" i="5" s="1"/>
  <c r="I45" i="5" s="1" a="1"/>
  <c r="I45" i="5" s="1"/>
  <c r="I46" i="5" s="1" a="1"/>
  <c r="I46" i="5" s="1"/>
  <c r="I47" i="5" s="1"/>
  <c r="I48" i="5" s="1"/>
  <c r="I49" i="5" s="1"/>
  <c r="J50" i="5"/>
  <c r="J51" i="5" s="1"/>
  <c r="J52" i="5" s="1"/>
  <c r="J53" i="5" s="1" a="1"/>
  <c r="J53" i="5" s="1"/>
  <c r="J54" i="5" s="1" a="1"/>
  <c r="J54" i="5" s="1"/>
  <c r="J55" i="5" s="1"/>
  <c r="J56" i="5" s="1"/>
  <c r="J57" i="5" s="1"/>
  <c r="H48" i="8"/>
  <c r="H45" i="8"/>
  <c r="F48" i="8"/>
  <c r="F45" i="8"/>
  <c r="G48" i="8"/>
  <c r="G45" i="8"/>
  <c r="E45" i="8"/>
  <c r="E48" i="8"/>
  <c r="G51" i="8" l="1"/>
  <c r="G52" i="8" s="1"/>
  <c r="F51" i="8"/>
  <c r="F52" i="8" s="1"/>
  <c r="E51" i="8"/>
  <c r="E52" i="8" s="1"/>
  <c r="H51" i="8"/>
  <c r="H52" i="8" s="1"/>
  <c r="I50" i="5"/>
  <c r="I51" i="5" s="1"/>
  <c r="I52" i="5" s="1"/>
  <c r="I53" i="5" s="1" a="1"/>
  <c r="I53" i="5" s="1"/>
  <c r="I54" i="5" s="1" a="1"/>
  <c r="I54" i="5" s="1"/>
  <c r="I55" i="5" s="1"/>
  <c r="I56" i="5" s="1"/>
  <c r="I57" i="5" s="1"/>
  <c r="J58" i="5"/>
  <c r="J59" i="5" s="1"/>
  <c r="J60" i="5" s="1"/>
  <c r="J61" i="5" s="1" a="1"/>
  <c r="J61" i="5" s="1"/>
  <c r="J62" i="5" s="1" a="1"/>
  <c r="J62" i="5" s="1"/>
  <c r="J63" i="5" s="1"/>
  <c r="J64" i="5" s="1"/>
  <c r="J66" i="5" s="1"/>
  <c r="F47" i="8"/>
  <c r="K44" i="6"/>
  <c r="E47" i="8"/>
  <c r="B56" i="2"/>
  <c r="C20" i="5" s="1"/>
  <c r="H47" i="8"/>
  <c r="M44" i="6"/>
  <c r="B57" i="2"/>
  <c r="C21" i="5" s="1"/>
  <c r="L26" i="5" s="1" a="1"/>
  <c r="L26" i="5" s="1"/>
  <c r="L29" i="5" s="1" a="1"/>
  <c r="L29" i="5" s="1"/>
  <c r="L30" i="5" s="1"/>
  <c r="L31" i="5" s="1"/>
  <c r="G47" i="8"/>
  <c r="L44" i="6"/>
  <c r="F53" i="8" l="1"/>
  <c r="E53" i="8"/>
  <c r="G53" i="8"/>
  <c r="H53" i="8"/>
  <c r="K26" i="5" a="1"/>
  <c r="K26" i="5" s="1"/>
  <c r="K29" i="5" s="1" a="1"/>
  <c r="K29" i="5" s="1"/>
  <c r="K30" i="5" s="1"/>
  <c r="K31" i="5" s="1"/>
  <c r="I58" i="5"/>
  <c r="I59" i="5" s="1"/>
  <c r="I60" i="5" s="1"/>
  <c r="I61" i="5" s="1" a="1"/>
  <c r="I61" i="5" s="1"/>
  <c r="I62" i="5" s="1" a="1"/>
  <c r="I62" i="5" s="1"/>
  <c r="I63" i="5" s="1"/>
  <c r="I64" i="5" s="1"/>
  <c r="I65" i="5" s="1"/>
  <c r="L33" i="5"/>
  <c r="L34" i="5"/>
  <c r="J65" i="5"/>
  <c r="J67" i="5" s="1"/>
  <c r="J68" i="5" s="1"/>
  <c r="J69" i="5" s="1" a="1"/>
  <c r="J69" i="5" s="1"/>
  <c r="K34" i="5" l="1"/>
  <c r="K33" i="5"/>
  <c r="I66" i="5"/>
  <c r="I67" i="5" s="1"/>
  <c r="I68" i="5" s="1"/>
  <c r="I69" i="5" s="1" a="1"/>
  <c r="I69" i="5" s="1"/>
  <c r="I72" i="5" s="1"/>
  <c r="L35" i="5"/>
  <c r="L36" i="5" s="1"/>
  <c r="L37" i="5" s="1" a="1"/>
  <c r="L37" i="5" s="1"/>
  <c r="L38" i="5" s="1" a="1"/>
  <c r="L38" i="5" s="1"/>
  <c r="L39" i="5" s="1"/>
  <c r="L40" i="5" s="1"/>
  <c r="L42" i="5" s="1"/>
  <c r="K35" i="5" l="1"/>
  <c r="K36" i="5" s="1"/>
  <c r="K37" i="5" s="1" a="1"/>
  <c r="K37" i="5" s="1"/>
  <c r="K38" i="5" s="1" a="1"/>
  <c r="K38" i="5" s="1"/>
  <c r="K39" i="5" s="1"/>
  <c r="K40" i="5" s="1"/>
  <c r="K41" i="5" s="1"/>
  <c r="J72" i="5"/>
  <c r="J8" i="5" s="1"/>
  <c r="V38" i="6" s="1"/>
  <c r="I8" i="5"/>
  <c r="L41" i="5"/>
  <c r="L43" i="5" s="1"/>
  <c r="L44" i="5" s="1"/>
  <c r="L45" i="5" s="1" a="1"/>
  <c r="L45" i="5" s="1"/>
  <c r="L46" i="5" s="1" a="1"/>
  <c r="L46" i="5" s="1"/>
  <c r="L47" i="5" s="1"/>
  <c r="L48" i="5" s="1"/>
  <c r="L49" i="5" s="1"/>
  <c r="K42" i="5" l="1"/>
  <c r="K43" i="5" s="1"/>
  <c r="K44" i="5" s="1"/>
  <c r="K45" i="5" s="1" a="1"/>
  <c r="K45" i="5" s="1"/>
  <c r="K46" i="5" s="1" a="1"/>
  <c r="K46" i="5" s="1"/>
  <c r="K47" i="5" s="1"/>
  <c r="K48" i="5" s="1"/>
  <c r="K50" i="5" s="1"/>
  <c r="J5" i="5"/>
  <c r="B21" i="2" s="1"/>
  <c r="J7" i="5"/>
  <c r="V37" i="6" s="1"/>
  <c r="J6" i="5"/>
  <c r="V36" i="6" s="1"/>
  <c r="I7" i="5"/>
  <c r="I5" i="5"/>
  <c r="U35" i="6" s="1"/>
  <c r="I6" i="5"/>
  <c r="U36" i="6" s="1"/>
  <c r="U38" i="6"/>
  <c r="L50" i="5"/>
  <c r="L51" i="5" s="1"/>
  <c r="L52" i="5" s="1"/>
  <c r="L53" i="5" s="1" a="1"/>
  <c r="L53" i="5" s="1"/>
  <c r="L54" i="5" s="1" a="1"/>
  <c r="L54" i="5" s="1"/>
  <c r="L55" i="5" s="1"/>
  <c r="L56" i="5" s="1"/>
  <c r="K49" i="5" l="1"/>
  <c r="K51" i="5" s="1"/>
  <c r="K52" i="5" s="1"/>
  <c r="K53" i="5" s="1" a="1"/>
  <c r="K53" i="5" s="1"/>
  <c r="K54" i="5" s="1" a="1"/>
  <c r="K54" i="5" s="1"/>
  <c r="K55" i="5" s="1"/>
  <c r="K56" i="5" s="1"/>
  <c r="K58" i="5" s="1"/>
  <c r="V35" i="6"/>
  <c r="B15" i="2"/>
  <c r="K4" i="14" s="1"/>
  <c r="B20" i="2"/>
  <c r="U37" i="6"/>
  <c r="B14" i="2"/>
  <c r="J4" i="14" s="1"/>
  <c r="L57" i="5"/>
  <c r="L58" i="5"/>
  <c r="K57" i="5" l="1"/>
  <c r="K59" i="5" s="1"/>
  <c r="K60" i="5" s="1"/>
  <c r="K61" i="5" s="1" a="1"/>
  <c r="K61" i="5" s="1"/>
  <c r="K62" i="5" s="1" a="1"/>
  <c r="K62" i="5" s="1"/>
  <c r="K63" i="5" s="1"/>
  <c r="K64" i="5" s="1"/>
  <c r="K65" i="5" s="1"/>
  <c r="L59" i="5"/>
  <c r="L60" i="5" s="1"/>
  <c r="L61" i="5" s="1" a="1"/>
  <c r="L61" i="5" s="1"/>
  <c r="L62" i="5" s="1" a="1"/>
  <c r="L62" i="5" s="1"/>
  <c r="L63" i="5" s="1"/>
  <c r="L64" i="5" s="1"/>
  <c r="L66" i="5" s="1"/>
  <c r="K66" i="5" l="1"/>
  <c r="K67" i="5" s="1"/>
  <c r="K68" i="5" s="1"/>
  <c r="K69" i="5" s="1" a="1"/>
  <c r="K69" i="5" s="1"/>
  <c r="K72" i="5" s="1"/>
  <c r="L65" i="5"/>
  <c r="L67" i="5" s="1"/>
  <c r="L68" i="5" s="1"/>
  <c r="L69" i="5" s="1" a="1"/>
  <c r="L69" i="5" s="1"/>
  <c r="L72" i="5" l="1"/>
  <c r="L8" i="5" s="1"/>
  <c r="K8" i="5"/>
  <c r="L5" i="5" l="1"/>
  <c r="L6" i="5"/>
  <c r="X36" i="6" s="1"/>
  <c r="X38" i="6"/>
  <c r="L7" i="5"/>
  <c r="X37" i="6" s="1"/>
  <c r="W38" i="6"/>
  <c r="K5" i="5"/>
  <c r="B22" i="2" s="1"/>
  <c r="K6" i="5"/>
  <c r="W36" i="6" s="1"/>
  <c r="K7" i="5"/>
  <c r="B16" i="2" s="1"/>
  <c r="L4" i="14" s="1"/>
  <c r="B17" i="2" l="1"/>
  <c r="M4" i="14" s="1"/>
  <c r="X35" i="6"/>
  <c r="B23" i="2"/>
  <c r="W35" i="6"/>
  <c r="W37" i="6"/>
  <c r="C52" i="8" l="1"/>
  <c r="C53" i="8"/>
  <c r="H61" i="6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Edward Engle Eyre</author>
    <author>neyre</author>
  </authors>
  <commentList>
    <comment ref="B4" authorId="0" shapeId="0" xr:uid="{1A76A979-9738-44DE-B692-A62533CF9995}">
      <text>
        <r>
          <rPr>
            <sz val="11"/>
            <color theme="1"/>
            <rFont val="Calibri"/>
            <family val="2"/>
            <scheme val="minor"/>
          </rPr>
          <t xml:space="preserve">Transmitted load.  This is the load tangent to the pitch circle.
</t>
        </r>
      </text>
    </comment>
    <comment ref="B5" authorId="0" shapeId="0" xr:uid="{208C4134-4F3E-44E6-81D6-8EAC42E3CCAF}">
      <text>
        <r>
          <rPr>
            <sz val="11"/>
            <color theme="1"/>
            <rFont val="Calibri"/>
            <family val="2"/>
            <scheme val="minor"/>
          </rPr>
          <t xml:space="preserve">Bending Stress
</t>
        </r>
      </text>
    </comment>
    <comment ref="B6" authorId="0" shapeId="0" xr:uid="{A53E39A9-F71C-4C7C-92AC-A0D1F4632064}">
      <text>
        <r>
          <rPr>
            <sz val="11"/>
            <color theme="1"/>
            <rFont val="Calibri"/>
            <family val="2"/>
            <scheme val="minor"/>
          </rPr>
          <t xml:space="preserve">Bending factor of safety
</t>
        </r>
      </text>
    </comment>
    <comment ref="I6" authorId="0" shapeId="0" xr:uid="{AAD03CE8-CFBE-41D6-B986-23CAA731922F}">
      <text>
        <r>
          <rPr>
            <sz val="11"/>
            <color theme="1"/>
            <rFont val="Calibri"/>
            <family val="2"/>
            <scheme val="minor"/>
          </rPr>
          <t xml:space="preserve">Gear bending strength. Material dependent.
Table 14-3,14-4
</t>
        </r>
      </text>
    </comment>
    <comment ref="B7" authorId="0" shapeId="0" xr:uid="{3EC55C60-2480-4BEB-BAFD-E02B11788F69}">
      <text>
        <r>
          <rPr>
            <sz val="11"/>
            <color theme="1"/>
            <rFont val="Calibri"/>
            <family val="2"/>
            <scheme val="minor"/>
          </rPr>
          <t xml:space="preserve">Contact Stress
</t>
        </r>
      </text>
    </comment>
    <comment ref="I7" authorId="0" shapeId="0" xr:uid="{E4D90FD9-FFBE-4087-B4EC-F5B6E04AB9ED}">
      <text>
        <r>
          <rPr>
            <sz val="11"/>
            <color theme="1"/>
            <rFont val="Calibri"/>
            <family val="2"/>
            <scheme val="minor"/>
          </rPr>
          <t xml:space="preserve">Contact strength of gear material.
</t>
        </r>
      </text>
    </comment>
    <comment ref="B8" authorId="0" shapeId="0" xr:uid="{D25578FF-7044-48D2-AF38-6BB401622D25}">
      <text>
        <r>
          <rPr>
            <sz val="11"/>
            <color theme="1"/>
            <rFont val="Calibri"/>
            <family val="2"/>
            <scheme val="minor"/>
          </rPr>
          <t>Wear factor of safety.
Needs to be squared before comparison to Sf</t>
        </r>
      </text>
    </comment>
    <comment ref="B9" authorId="0" shapeId="0" xr:uid="{C2EDD9AB-5AD6-4D0F-9B09-C10CC5274D3E}">
      <text>
        <r>
          <rPr>
            <sz val="11"/>
            <color theme="1"/>
            <rFont val="Calibri"/>
            <family val="2"/>
            <scheme val="minor"/>
          </rPr>
          <t xml:space="preserve">Geometry factor J.
***Not what you think J is, it's an AGMA thing***
</t>
        </r>
      </text>
    </comment>
    <comment ref="B10" authorId="1" shapeId="0" xr:uid="{3984F589-1D8D-441A-B132-B54E19093D72}">
      <text>
        <r>
          <rPr>
            <sz val="9"/>
            <color indexed="81"/>
            <rFont val="Tahoma"/>
            <family val="2"/>
          </rPr>
          <t xml:space="preserve">AGMA geometry factor I.
***Not moment of inertia***
</t>
        </r>
      </text>
    </comment>
    <comment ref="I10" authorId="0" shapeId="0" xr:uid="{558ADD6E-4C39-4449-BC35-49E7F528E9E4}">
      <text>
        <r>
          <rPr>
            <sz val="11"/>
            <color theme="1"/>
            <rFont val="Calibri"/>
            <family val="2"/>
            <scheme val="minor"/>
          </rPr>
          <t xml:space="preserve">Gear bending strength. Material dependent.
Table 14-3,14-4
</t>
        </r>
      </text>
    </comment>
    <comment ref="B11" authorId="1" shapeId="0" xr:uid="{8DA65EB0-8411-46D0-9ABD-A8FBC067A221}">
      <text>
        <r>
          <rPr>
            <b/>
            <sz val="9"/>
            <color indexed="81"/>
            <rFont val="Tahoma"/>
            <family val="2"/>
          </rPr>
          <t>neyre:</t>
        </r>
        <r>
          <rPr>
            <sz val="9"/>
            <color indexed="81"/>
            <rFont val="Tahoma"/>
            <family val="2"/>
          </rPr>
          <t xml:space="preserve">
Elastic coefficient.</t>
        </r>
      </text>
    </comment>
    <comment ref="I11" authorId="0" shapeId="0" xr:uid="{4484DBED-9D98-4641-8703-381702C5B181}">
      <text>
        <r>
          <rPr>
            <sz val="11"/>
            <color theme="1"/>
            <rFont val="Calibri"/>
            <family val="2"/>
            <scheme val="minor"/>
          </rPr>
          <t>Contact strength of gear material.</t>
        </r>
      </text>
    </comment>
    <comment ref="B13" authorId="1" shapeId="0" xr:uid="{0F874A85-E899-494A-A2BB-52BD86A1CEC0}">
      <text>
        <r>
          <rPr>
            <b/>
            <sz val="9"/>
            <color indexed="81"/>
            <rFont val="Tahoma"/>
            <family val="2"/>
          </rPr>
          <t>neyre: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14" authorId="0" shapeId="0" xr:uid="{88C013DD-CB50-4042-B4EF-78291551A460}">
      <text>
        <r>
          <rPr>
            <sz val="11"/>
            <color theme="1"/>
            <rFont val="Calibri"/>
            <family val="2"/>
            <scheme val="minor"/>
          </rPr>
          <t xml:space="preserve">Overload stress concentration factor.
</t>
        </r>
      </text>
    </comment>
    <comment ref="B22" authorId="1" shapeId="0" xr:uid="{7754AA71-4C10-4AC2-A887-4593305D68B8}">
      <text>
        <r>
          <rPr>
            <sz val="9"/>
            <color indexed="81"/>
            <rFont val="Tahoma"/>
            <family val="2"/>
          </rPr>
          <t>Hardness-ratio factor.
Used to calculate sigma c.</t>
        </r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<sst xmlns="http://schemas.openxmlformats.org/spreadsheetml/2006/main" count="1981" uniqueCount="1194">
  <si>
    <t>Materials:</t>
  </si>
  <si>
    <t>Shafts:</t>
  </si>
  <si>
    <r>
      <t>S</t>
    </r>
    <r>
      <rPr>
        <vertAlign val="subscript"/>
        <sz val="11"/>
        <color theme="1"/>
        <rFont val="Calibri"/>
        <family val="2"/>
        <scheme val="minor"/>
      </rPr>
      <t>ut</t>
    </r>
  </si>
  <si>
    <t>ksi</t>
  </si>
  <si>
    <r>
      <t>S</t>
    </r>
    <r>
      <rPr>
        <vertAlign val="subscript"/>
        <sz val="11"/>
        <color theme="1"/>
        <rFont val="Calibri"/>
        <family val="2"/>
        <scheme val="minor"/>
      </rPr>
      <t>y</t>
    </r>
  </si>
  <si>
    <t>Property</t>
  </si>
  <si>
    <t>Value</t>
  </si>
  <si>
    <t>Units</t>
  </si>
  <si>
    <t>Notes</t>
  </si>
  <si>
    <t>From</t>
  </si>
  <si>
    <t>To</t>
  </si>
  <si>
    <t>kpsi</t>
  </si>
  <si>
    <t>shafts property</t>
  </si>
  <si>
    <t>Shafts</t>
  </si>
  <si>
    <t>Report Template</t>
  </si>
  <si>
    <r>
      <t>M</t>
    </r>
    <r>
      <rPr>
        <vertAlign val="subscript"/>
        <sz val="11"/>
        <color theme="1"/>
        <rFont val="Calibri"/>
        <family val="2"/>
        <scheme val="minor"/>
      </rPr>
      <t>m</t>
    </r>
  </si>
  <si>
    <t>in-lbf</t>
  </si>
  <si>
    <t>loads</t>
  </si>
  <si>
    <t>shafts &amp; bearings</t>
  </si>
  <si>
    <r>
      <t>M</t>
    </r>
    <r>
      <rPr>
        <vertAlign val="subscript"/>
        <sz val="11"/>
        <color theme="1"/>
        <rFont val="Calibri"/>
        <family val="2"/>
        <scheme val="minor"/>
      </rPr>
      <t>a</t>
    </r>
  </si>
  <si>
    <r>
      <t>T</t>
    </r>
    <r>
      <rPr>
        <vertAlign val="subscript"/>
        <sz val="11"/>
        <color theme="1"/>
        <rFont val="Calibri"/>
        <family val="2"/>
        <scheme val="minor"/>
      </rPr>
      <t>m</t>
    </r>
  </si>
  <si>
    <r>
      <t>T</t>
    </r>
    <r>
      <rPr>
        <vertAlign val="subscript"/>
        <sz val="11"/>
        <color theme="1"/>
        <rFont val="Calibri"/>
        <family val="2"/>
        <scheme val="minor"/>
      </rPr>
      <t>a</t>
    </r>
  </si>
  <si>
    <t>d</t>
  </si>
  <si>
    <t>in</t>
  </si>
  <si>
    <t>shaft diameter</t>
  </si>
  <si>
    <t>shafts</t>
  </si>
  <si>
    <t>bearings</t>
  </si>
  <si>
    <t>θ</t>
  </si>
  <si>
    <t>degrees</t>
  </si>
  <si>
    <t>Intermediate shaft angle</t>
  </si>
  <si>
    <t>gears</t>
  </si>
  <si>
    <r>
      <t>W</t>
    </r>
    <r>
      <rPr>
        <vertAlign val="superscript"/>
        <sz val="11"/>
        <color theme="1"/>
        <rFont val="Calibri"/>
        <family val="2"/>
        <scheme val="minor"/>
      </rPr>
      <t>t</t>
    </r>
    <r>
      <rPr>
        <vertAlign val="subscript"/>
        <sz val="11"/>
        <color theme="1"/>
        <rFont val="Calibri"/>
        <family val="2"/>
        <scheme val="minor"/>
      </rPr>
      <t>12</t>
    </r>
  </si>
  <si>
    <t>lbf</t>
  </si>
  <si>
    <t>Transmittal Load; gear 1 and 2</t>
  </si>
  <si>
    <r>
      <t>W</t>
    </r>
    <r>
      <rPr>
        <vertAlign val="superscript"/>
        <sz val="11"/>
        <color theme="1"/>
        <rFont val="Calibri"/>
        <family val="2"/>
        <scheme val="minor"/>
      </rPr>
      <t>t</t>
    </r>
    <r>
      <rPr>
        <vertAlign val="subscript"/>
        <sz val="11"/>
        <color theme="1"/>
        <rFont val="Calibri"/>
        <family val="2"/>
        <scheme val="minor"/>
      </rPr>
      <t>34</t>
    </r>
  </si>
  <si>
    <t>Transmittal Load; gear 3 and 4</t>
  </si>
  <si>
    <r>
      <t>W</t>
    </r>
    <r>
      <rPr>
        <vertAlign val="superscript"/>
        <sz val="11"/>
        <color theme="1"/>
        <rFont val="Calibri"/>
        <family val="2"/>
        <scheme val="minor"/>
      </rPr>
      <t>r</t>
    </r>
    <r>
      <rPr>
        <vertAlign val="subscript"/>
        <sz val="11"/>
        <color theme="1"/>
        <rFont val="Calibri"/>
        <family val="2"/>
        <scheme val="minor"/>
      </rPr>
      <t>12</t>
    </r>
  </si>
  <si>
    <t>Radial Load; gear 1 and 2</t>
  </si>
  <si>
    <r>
      <t>W</t>
    </r>
    <r>
      <rPr>
        <vertAlign val="superscript"/>
        <sz val="11"/>
        <color theme="1"/>
        <rFont val="Calibri"/>
        <family val="2"/>
        <scheme val="minor"/>
      </rPr>
      <t>r</t>
    </r>
    <r>
      <rPr>
        <vertAlign val="subscript"/>
        <sz val="11"/>
        <color theme="1"/>
        <rFont val="Calibri"/>
        <family val="2"/>
        <scheme val="minor"/>
      </rPr>
      <t>34</t>
    </r>
  </si>
  <si>
    <t>Radial Load; gear 3 and 4</t>
  </si>
  <si>
    <r>
      <t>Width</t>
    </r>
    <r>
      <rPr>
        <vertAlign val="subscript"/>
        <sz val="11"/>
        <color theme="1"/>
        <rFont val="Calibri"/>
        <family val="2"/>
        <scheme val="minor"/>
      </rPr>
      <t>a</t>
    </r>
  </si>
  <si>
    <t>mm</t>
  </si>
  <si>
    <t>Bearing Width</t>
  </si>
  <si>
    <t>Bearings</t>
  </si>
  <si>
    <t>Loads</t>
  </si>
  <si>
    <r>
      <t>Width</t>
    </r>
    <r>
      <rPr>
        <vertAlign val="subscript"/>
        <sz val="11"/>
        <color theme="1"/>
        <rFont val="Calibri"/>
        <family val="2"/>
        <scheme val="minor"/>
      </rPr>
      <t>b</t>
    </r>
  </si>
  <si>
    <r>
      <t>Width</t>
    </r>
    <r>
      <rPr>
        <vertAlign val="subscript"/>
        <sz val="11"/>
        <color theme="1"/>
        <rFont val="Calibri"/>
        <family val="2"/>
        <scheme val="minor"/>
      </rPr>
      <t>c</t>
    </r>
  </si>
  <si>
    <r>
      <t>Width</t>
    </r>
    <r>
      <rPr>
        <vertAlign val="subscript"/>
        <sz val="11"/>
        <color theme="1"/>
        <rFont val="Calibri"/>
        <family val="2"/>
        <scheme val="minor"/>
      </rPr>
      <t>d</t>
    </r>
  </si>
  <si>
    <r>
      <t>Width</t>
    </r>
    <r>
      <rPr>
        <vertAlign val="subscript"/>
        <sz val="11"/>
        <color theme="1"/>
        <rFont val="Calibri"/>
        <family val="2"/>
        <scheme val="minor"/>
      </rPr>
      <t>e</t>
    </r>
  </si>
  <si>
    <r>
      <t>Width</t>
    </r>
    <r>
      <rPr>
        <vertAlign val="subscript"/>
        <sz val="11"/>
        <color theme="1"/>
        <rFont val="Calibri"/>
        <family val="2"/>
        <scheme val="minor"/>
      </rPr>
      <t>f</t>
    </r>
  </si>
  <si>
    <r>
      <t>ID</t>
    </r>
    <r>
      <rPr>
        <vertAlign val="subscript"/>
        <sz val="11"/>
        <color theme="1"/>
        <rFont val="Calibri"/>
        <family val="2"/>
        <scheme val="minor"/>
      </rPr>
      <t>a</t>
    </r>
  </si>
  <si>
    <t>Bearing Inner Diameter</t>
  </si>
  <si>
    <r>
      <t>ID</t>
    </r>
    <r>
      <rPr>
        <vertAlign val="subscript"/>
        <sz val="11"/>
        <color theme="1"/>
        <rFont val="Calibri"/>
        <family val="2"/>
        <scheme val="minor"/>
      </rPr>
      <t>b</t>
    </r>
  </si>
  <si>
    <r>
      <t>ID</t>
    </r>
    <r>
      <rPr>
        <vertAlign val="subscript"/>
        <sz val="11"/>
        <color theme="1"/>
        <rFont val="Calibri"/>
        <family val="2"/>
        <scheme val="minor"/>
      </rPr>
      <t>c</t>
    </r>
  </si>
  <si>
    <r>
      <t>ID</t>
    </r>
    <r>
      <rPr>
        <vertAlign val="subscript"/>
        <sz val="11"/>
        <color theme="1"/>
        <rFont val="Calibri"/>
        <family val="2"/>
        <scheme val="minor"/>
      </rPr>
      <t>d</t>
    </r>
  </si>
  <si>
    <r>
      <t>ID</t>
    </r>
    <r>
      <rPr>
        <vertAlign val="subscript"/>
        <sz val="11"/>
        <color theme="1"/>
        <rFont val="Calibri"/>
        <family val="2"/>
        <scheme val="minor"/>
      </rPr>
      <t>e</t>
    </r>
  </si>
  <si>
    <r>
      <t>ID</t>
    </r>
    <r>
      <rPr>
        <vertAlign val="subscript"/>
        <sz val="11"/>
        <color theme="1"/>
        <rFont val="Calibri"/>
        <family val="2"/>
        <scheme val="minor"/>
      </rPr>
      <t>f</t>
    </r>
  </si>
  <si>
    <t>Width 1</t>
  </si>
  <si>
    <t>Gear width</t>
  </si>
  <si>
    <t>Width 2</t>
  </si>
  <si>
    <t>Width 3</t>
  </si>
  <si>
    <t>Width 4</t>
  </si>
  <si>
    <t>F input Bearing 1</t>
  </si>
  <si>
    <t>Radial Force on input shaft bearings</t>
  </si>
  <si>
    <t>F output bearing 1</t>
  </si>
  <si>
    <t>Radial Force on output shaft bearings</t>
  </si>
  <si>
    <t>F intermediate bearing 1</t>
  </si>
  <si>
    <t>Radial Force on first bearing</t>
  </si>
  <si>
    <t>F intermediate bearing 2</t>
  </si>
  <si>
    <t>Radial Force on second bearing</t>
  </si>
  <si>
    <t>RPM Shaft 1</t>
  </si>
  <si>
    <t>RPM Shaft 2</t>
  </si>
  <si>
    <t>RPM Shaft 3</t>
  </si>
  <si>
    <r>
      <t>M</t>
    </r>
    <r>
      <rPr>
        <vertAlign val="subscript"/>
        <sz val="11"/>
        <color theme="1"/>
        <rFont val="Calibri"/>
        <family val="2"/>
        <scheme val="minor"/>
      </rPr>
      <t>a,input,A</t>
    </r>
  </si>
  <si>
    <t>Moment at Shoulder A</t>
  </si>
  <si>
    <r>
      <t>M</t>
    </r>
    <r>
      <rPr>
        <vertAlign val="subscript"/>
        <sz val="11"/>
        <color theme="1"/>
        <rFont val="Calibri"/>
        <family val="2"/>
        <scheme val="minor"/>
      </rPr>
      <t>a,input,B</t>
    </r>
  </si>
  <si>
    <t>Moment at Gear 1</t>
  </si>
  <si>
    <r>
      <t>M</t>
    </r>
    <r>
      <rPr>
        <vertAlign val="subscript"/>
        <sz val="11"/>
        <color theme="1"/>
        <rFont val="Calibri"/>
        <family val="2"/>
        <scheme val="minor"/>
      </rPr>
      <t>a,input,C</t>
    </r>
  </si>
  <si>
    <t>Moment at Shoulder C</t>
  </si>
  <si>
    <r>
      <t>M</t>
    </r>
    <r>
      <rPr>
        <vertAlign val="subscript"/>
        <sz val="11"/>
        <color theme="1"/>
        <rFont val="Calibri"/>
        <family val="2"/>
        <scheme val="minor"/>
      </rPr>
      <t>a,int,A</t>
    </r>
  </si>
  <si>
    <r>
      <t>M</t>
    </r>
    <r>
      <rPr>
        <vertAlign val="subscript"/>
        <sz val="11"/>
        <color theme="1"/>
        <rFont val="Calibri"/>
        <family val="2"/>
        <scheme val="minor"/>
      </rPr>
      <t>a,int,B</t>
    </r>
  </si>
  <si>
    <t>Moment at Gear 2</t>
  </si>
  <si>
    <r>
      <t>M</t>
    </r>
    <r>
      <rPr>
        <vertAlign val="subscript"/>
        <sz val="11"/>
        <color theme="1"/>
        <rFont val="Calibri"/>
        <family val="2"/>
        <scheme val="minor"/>
      </rPr>
      <t>a,int,C</t>
    </r>
  </si>
  <si>
    <t>Moment at Gear 3</t>
  </si>
  <si>
    <r>
      <t>M</t>
    </r>
    <r>
      <rPr>
        <vertAlign val="subscript"/>
        <sz val="11"/>
        <color theme="1"/>
        <rFont val="Calibri"/>
        <family val="2"/>
        <scheme val="minor"/>
      </rPr>
      <t>a,int,D</t>
    </r>
  </si>
  <si>
    <t>Moment at Shoulder D</t>
  </si>
  <si>
    <r>
      <t>M</t>
    </r>
    <r>
      <rPr>
        <vertAlign val="subscript"/>
        <sz val="11"/>
        <color theme="1"/>
        <rFont val="Calibri"/>
        <family val="2"/>
        <scheme val="minor"/>
      </rPr>
      <t>a,output,A</t>
    </r>
  </si>
  <si>
    <r>
      <t>M</t>
    </r>
    <r>
      <rPr>
        <vertAlign val="subscript"/>
        <sz val="11"/>
        <color theme="1"/>
        <rFont val="Calibri"/>
        <family val="2"/>
        <scheme val="minor"/>
      </rPr>
      <t>a,output,B</t>
    </r>
  </si>
  <si>
    <t>Moment at Gear 4</t>
  </si>
  <si>
    <r>
      <t>M</t>
    </r>
    <r>
      <rPr>
        <vertAlign val="subscript"/>
        <sz val="11"/>
        <color theme="1"/>
        <rFont val="Calibri"/>
        <family val="2"/>
        <scheme val="minor"/>
      </rPr>
      <t>a,output,C</t>
    </r>
  </si>
  <si>
    <t>Diameter 1</t>
  </si>
  <si>
    <t>Gear Diameter</t>
  </si>
  <si>
    <t>Diameter 2</t>
  </si>
  <si>
    <t>Diameter 3</t>
  </si>
  <si>
    <t>Diameter 4</t>
  </si>
  <si>
    <r>
      <t>T</t>
    </r>
    <r>
      <rPr>
        <vertAlign val="subscript"/>
        <sz val="11"/>
        <color theme="1"/>
        <rFont val="Calibri"/>
        <family val="2"/>
        <scheme val="minor"/>
      </rPr>
      <t>m,input</t>
    </r>
  </si>
  <si>
    <t>Mean torque Input shaft</t>
  </si>
  <si>
    <r>
      <t>T</t>
    </r>
    <r>
      <rPr>
        <vertAlign val="subscript"/>
        <sz val="11"/>
        <color theme="1"/>
        <rFont val="Calibri"/>
        <family val="2"/>
        <scheme val="minor"/>
      </rPr>
      <t>m,int</t>
    </r>
  </si>
  <si>
    <t>Mean torque Int shaft</t>
  </si>
  <si>
    <r>
      <t>T</t>
    </r>
    <r>
      <rPr>
        <vertAlign val="subscript"/>
        <sz val="11"/>
        <color theme="1"/>
        <rFont val="Calibri"/>
        <family val="2"/>
        <scheme val="minor"/>
      </rPr>
      <t>m,output</t>
    </r>
  </si>
  <si>
    <t>Mean torque Output shaft</t>
  </si>
  <si>
    <r>
      <t>d</t>
    </r>
    <r>
      <rPr>
        <vertAlign val="subscript"/>
        <sz val="11"/>
        <color theme="1"/>
        <rFont val="Calibri"/>
        <family val="2"/>
        <scheme val="minor"/>
      </rPr>
      <t>min,A</t>
    </r>
  </si>
  <si>
    <r>
      <t>d</t>
    </r>
    <r>
      <rPr>
        <vertAlign val="subscript"/>
        <sz val="11"/>
        <color theme="1"/>
        <rFont val="Calibri"/>
        <family val="2"/>
        <scheme val="minor"/>
      </rPr>
      <t>min,B</t>
    </r>
  </si>
  <si>
    <r>
      <t>d</t>
    </r>
    <r>
      <rPr>
        <vertAlign val="subscript"/>
        <sz val="11"/>
        <color theme="1"/>
        <rFont val="Calibri"/>
        <family val="2"/>
        <scheme val="minor"/>
      </rPr>
      <t>min,C</t>
    </r>
  </si>
  <si>
    <r>
      <t>d</t>
    </r>
    <r>
      <rPr>
        <vertAlign val="subscript"/>
        <sz val="11"/>
        <color theme="1"/>
        <rFont val="Calibri"/>
        <family val="2"/>
        <scheme val="minor"/>
      </rPr>
      <t>min,D</t>
    </r>
  </si>
  <si>
    <r>
      <t>d</t>
    </r>
    <r>
      <rPr>
        <vertAlign val="subscript"/>
        <sz val="11"/>
        <color theme="1"/>
        <rFont val="Calibri"/>
        <family val="2"/>
        <scheme val="minor"/>
      </rPr>
      <t>min,E</t>
    </r>
  </si>
  <si>
    <r>
      <t>d</t>
    </r>
    <r>
      <rPr>
        <vertAlign val="subscript"/>
        <sz val="11"/>
        <color theme="1"/>
        <rFont val="Calibri"/>
        <family val="2"/>
        <scheme val="minor"/>
      </rPr>
      <t>min,F</t>
    </r>
  </si>
  <si>
    <r>
      <t>S</t>
    </r>
    <r>
      <rPr>
        <vertAlign val="subscript"/>
        <sz val="11"/>
        <color theme="1"/>
        <rFont val="Calibri"/>
        <family val="2"/>
        <scheme val="minor"/>
      </rPr>
      <t>e</t>
    </r>
  </si>
  <si>
    <t>Endurance Strength</t>
  </si>
  <si>
    <t>F input bearing 2</t>
  </si>
  <si>
    <t>F output bearing 2</t>
  </si>
  <si>
    <t>Location</t>
  </si>
  <si>
    <t>Input: a</t>
  </si>
  <si>
    <t>Input: b</t>
  </si>
  <si>
    <t>Input: c</t>
  </si>
  <si>
    <t>Intermed: a</t>
  </si>
  <si>
    <t>Intermed: b</t>
  </si>
  <si>
    <t>Intermed:c</t>
  </si>
  <si>
    <t>Intermed: d</t>
  </si>
  <si>
    <t>Output: a</t>
  </si>
  <si>
    <t>Output: b</t>
  </si>
  <si>
    <t>Ouput: c</t>
  </si>
  <si>
    <t>Dropdown Boxes</t>
  </si>
  <si>
    <t>Lookup Value</t>
  </si>
  <si>
    <t>AISI Lookup Reference</t>
  </si>
  <si>
    <t>Ka</t>
  </si>
  <si>
    <t>1006 HR</t>
  </si>
  <si>
    <t>1006HR,Su=43,Sy=24,σ,f=n/a</t>
  </si>
  <si>
    <t>Ke</t>
  </si>
  <si>
    <t>1006 CD</t>
  </si>
  <si>
    <t>1006CD,Su=48,Sy=41,σ,f=n/a</t>
  </si>
  <si>
    <t>Kc</t>
  </si>
  <si>
    <t>1010 HR</t>
  </si>
  <si>
    <t>1010HR,Su=47,Sy=26,σ,f=n/a</t>
  </si>
  <si>
    <t>Material Pick</t>
  </si>
  <si>
    <t>1010 CD</t>
  </si>
  <si>
    <t>1010CD,Su=53,Sy=44,σ,f=n/a</t>
  </si>
  <si>
    <t>given during quiz</t>
  </si>
  <si>
    <t>1015 HR</t>
  </si>
  <si>
    <t>1015HR,Su=50,Sy=27.5,σ,f=n/a</t>
  </si>
  <si>
    <t>Material Properties</t>
  </si>
  <si>
    <t>1015 CD</t>
  </si>
  <si>
    <t>1015CD,Su=56,Sy=47,σ,f=n/a</t>
  </si>
  <si>
    <t>Material Selection</t>
  </si>
  <si>
    <t>1018 HR</t>
  </si>
  <si>
    <t>1018HR,Su=58,Sy=32,σ,f=n/a</t>
  </si>
  <si>
    <t>1018 CD</t>
  </si>
  <si>
    <t>1018CD,Su=64,Sy=54,σ,f=n/a</t>
  </si>
  <si>
    <t>psi</t>
  </si>
  <si>
    <t>Legend</t>
  </si>
  <si>
    <t>1018 Annealed</t>
  </si>
  <si>
    <t>1018Annealed,Su=49.5,Sy=32,σ,f=91.1</t>
  </si>
  <si>
    <t>Inputs</t>
  </si>
  <si>
    <t>Inputs from Input-Output</t>
  </si>
  <si>
    <t>1020 HR</t>
  </si>
  <si>
    <t>1020HR,Su=55,Sy=30,σ,f=112</t>
  </si>
  <si>
    <t>Calculated</t>
  </si>
  <si>
    <t>1020 CD</t>
  </si>
  <si>
    <t>1020CD,Su=68,Sy=57,σ,f=n/a</t>
  </si>
  <si>
    <t>Conversions</t>
  </si>
  <si>
    <t>1030 HR</t>
  </si>
  <si>
    <t>1030HR,Su=68,Sy=37.5,σ,f=n/a</t>
  </si>
  <si>
    <t>Fatigue</t>
  </si>
  <si>
    <t>Fix</t>
  </si>
  <si>
    <t>1030 CD</t>
  </si>
  <si>
    <t>1030CD,Su=76,Sy=64,σ,f=n/a</t>
  </si>
  <si>
    <t>Automated</t>
  </si>
  <si>
    <t>1030 Q&amp;T 650</t>
  </si>
  <si>
    <t>1030Q&amp;T 650,Su=85,Sy=64,σ,f=n/a</t>
  </si>
  <si>
    <r>
      <t>d</t>
    </r>
    <r>
      <rPr>
        <vertAlign val="subscript"/>
        <sz val="11"/>
        <color theme="1"/>
        <rFont val="Calibri"/>
        <family val="2"/>
        <scheme val="minor"/>
      </rPr>
      <t>guess</t>
    </r>
  </si>
  <si>
    <t>Range of .3 to 2 inches</t>
  </si>
  <si>
    <t>1030 Normalized</t>
  </si>
  <si>
    <t>1030Normalized,Su=75,Sy=50,σ,f=n/a</t>
  </si>
  <si>
    <r>
      <t>S</t>
    </r>
    <r>
      <rPr>
        <vertAlign val="subscript"/>
        <sz val="11"/>
        <color theme="1"/>
        <rFont val="Calibri"/>
        <family val="2"/>
        <scheme val="minor"/>
      </rPr>
      <t>e</t>
    </r>
    <r>
      <rPr>
        <sz val="11"/>
        <color theme="1"/>
        <rFont val="Calibri"/>
        <family val="2"/>
        <scheme val="minor"/>
      </rPr>
      <t>'</t>
    </r>
  </si>
  <si>
    <t>1030 Annealed</t>
  </si>
  <si>
    <t>1030Annealed,Su=62,Sy=46,σ,f=n/a</t>
  </si>
  <si>
    <t>1035 HR</t>
  </si>
  <si>
    <t>1035HR,Su=72,Sy=39.5,σ,f=n/a</t>
  </si>
  <si>
    <r>
      <t>k</t>
    </r>
    <r>
      <rPr>
        <vertAlign val="subscript"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 xml:space="preserve"> (Surface Finish)</t>
    </r>
  </si>
  <si>
    <t>NA</t>
  </si>
  <si>
    <t>1035 CD</t>
  </si>
  <si>
    <t>1035CD,Su=80,Sy=67,σ,f=n/a</t>
  </si>
  <si>
    <r>
      <t>k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 xml:space="preserve"> (Size Factor)</t>
    </r>
  </si>
  <si>
    <t>1040 HR</t>
  </si>
  <si>
    <t>1040HR,Su=76,Sy=42,σ,f=n/a</t>
  </si>
  <si>
    <r>
      <t>k</t>
    </r>
    <r>
      <rPr>
        <vertAlign val="subscript"/>
        <sz val="11"/>
        <color theme="1"/>
        <rFont val="Calibri"/>
        <family val="2"/>
        <scheme val="minor"/>
      </rPr>
      <t>c</t>
    </r>
    <r>
      <rPr>
        <sz val="11"/>
        <color theme="1"/>
        <rFont val="Calibri"/>
        <family val="2"/>
        <scheme val="minor"/>
      </rPr>
      <t xml:space="preserve"> (Load Factor)</t>
    </r>
  </si>
  <si>
    <t>1040 CD</t>
  </si>
  <si>
    <t>1040CD,Su=85,Sy=71,σ,f=n/a</t>
  </si>
  <si>
    <r>
      <t>k</t>
    </r>
    <r>
      <rPr>
        <vertAlign val="subscript"/>
        <sz val="11"/>
        <color theme="1"/>
        <rFont val="Calibri"/>
        <family val="2"/>
        <scheme val="minor"/>
      </rPr>
      <t>d</t>
    </r>
    <r>
      <rPr>
        <sz val="11"/>
        <color theme="1"/>
        <rFont val="Calibri"/>
        <family val="2"/>
        <scheme val="minor"/>
      </rPr>
      <t xml:space="preserve"> (Temp. Factor)</t>
    </r>
  </si>
  <si>
    <t>1040 Q&amp;T 650</t>
  </si>
  <si>
    <t>1040Q&amp;T 650,Su=92,Sy=63,σ,f=n/a</t>
  </si>
  <si>
    <r>
      <t>k</t>
    </r>
    <r>
      <rPr>
        <vertAlign val="subscript"/>
        <sz val="11"/>
        <color theme="1"/>
        <rFont val="Calibri"/>
        <family val="2"/>
        <scheme val="minor"/>
      </rPr>
      <t>e</t>
    </r>
    <r>
      <rPr>
        <sz val="11"/>
        <color theme="1"/>
        <rFont val="Calibri"/>
        <family val="2"/>
        <scheme val="minor"/>
      </rPr>
      <t xml:space="preserve"> (Reliability %)</t>
    </r>
  </si>
  <si>
    <t>1040 Normalized</t>
  </si>
  <si>
    <t>1040Normalized,Su=86,Sy=54,σ,f=n/a</t>
  </si>
  <si>
    <t>1040 Annealed</t>
  </si>
  <si>
    <t>1040Annealed,Su=75,Sy=51,σ,f=n/a</t>
  </si>
  <si>
    <t>1045 HR</t>
  </si>
  <si>
    <t>1045HR,Su=82,Sy=45,σ,f=140</t>
  </si>
  <si>
    <t>1045 CD</t>
  </si>
  <si>
    <t>1045CD,Su=91,Sy=77,σ,f=n/a</t>
  </si>
  <si>
    <t>A and B</t>
  </si>
  <si>
    <t>1050 HR</t>
  </si>
  <si>
    <t>1050HR,Su=90,Sy=49.5,σ,f=n/a</t>
  </si>
  <si>
    <t>A</t>
  </si>
  <si>
    <t>1050 CD</t>
  </si>
  <si>
    <t>1050CD,Su=100,Sy=84,σ,f=n/a</t>
  </si>
  <si>
    <t>B</t>
  </si>
  <si>
    <t>1050 Q&amp;T 650</t>
  </si>
  <si>
    <t>1050Q&amp;T 650,Su=104,Sy=78,σ,f=n/a</t>
  </si>
  <si>
    <t>1050 Normalized</t>
  </si>
  <si>
    <t>1050Normalized,Su=108,Sy=62,σ,f=n/a</t>
  </si>
  <si>
    <t>Condition Given</t>
  </si>
  <si>
    <t>1050 Annealed</t>
  </si>
  <si>
    <t>1050Annealed,Su=92,Sy=53,σ,f=n/a</t>
  </si>
  <si>
    <t>n</t>
  </si>
  <si>
    <t>1060 HR</t>
  </si>
  <si>
    <t>1060HR,Su=98,Sy=54,σ,f=n/a</t>
  </si>
  <si>
    <t>1060 Q&amp;T 650</t>
  </si>
  <si>
    <t>1060Q&amp;T 650,Su=116,Sy=76,σ,f=n/a</t>
  </si>
  <si>
    <t>1060 Normalized</t>
  </si>
  <si>
    <t>1060Normalized,Su=112,Sy=61,σ,f=n/a</t>
  </si>
  <si>
    <t>Stress Consentrations</t>
  </si>
  <si>
    <t>1060 Annealed</t>
  </si>
  <si>
    <t>1060Annealed,Su=91,Sy=54,σ,f=n/a</t>
  </si>
  <si>
    <r>
      <t>k</t>
    </r>
    <r>
      <rPr>
        <vertAlign val="subscript"/>
        <sz val="11"/>
        <color theme="1"/>
        <rFont val="Calibri"/>
        <family val="2"/>
        <scheme val="minor"/>
      </rPr>
      <t>t</t>
    </r>
  </si>
  <si>
    <t>1080 HR</t>
  </si>
  <si>
    <t>1080HR,Su=112,Sy=61.5,σ,f=n/a</t>
  </si>
  <si>
    <r>
      <t>k</t>
    </r>
    <r>
      <rPr>
        <vertAlign val="subscript"/>
        <sz val="11"/>
        <color theme="1"/>
        <rFont val="Calibri"/>
        <family val="2"/>
        <scheme val="minor"/>
      </rPr>
      <t>ts</t>
    </r>
  </si>
  <si>
    <t>1095 HR</t>
  </si>
  <si>
    <t>1095HR,Su=120,Sy=66,σ,f=n/a</t>
  </si>
  <si>
    <t>q</t>
  </si>
  <si>
    <t>Use Figure 6-26</t>
  </si>
  <si>
    <t>1095 Q&amp;T 650</t>
  </si>
  <si>
    <t>1095Q&amp;T 650,Su=130,Sy=80,σ,f=n/a</t>
  </si>
  <si>
    <r>
      <t>q</t>
    </r>
    <r>
      <rPr>
        <vertAlign val="subscript"/>
        <sz val="11"/>
        <color theme="1"/>
        <rFont val="Calibri"/>
        <family val="2"/>
        <scheme val="minor"/>
      </rPr>
      <t>s</t>
    </r>
  </si>
  <si>
    <t>Use Figure 6-27</t>
  </si>
  <si>
    <t>1095 Normalized</t>
  </si>
  <si>
    <t>1095Normalized,Su=147,Sy=72,σ,f=n/a</t>
  </si>
  <si>
    <r>
      <t>K</t>
    </r>
    <r>
      <rPr>
        <vertAlign val="subscript"/>
        <sz val="11"/>
        <color theme="1"/>
        <rFont val="Calibri"/>
        <family val="2"/>
        <scheme val="minor"/>
      </rPr>
      <t>f</t>
    </r>
  </si>
  <si>
    <t>1095 Annealed</t>
  </si>
  <si>
    <t>1095Annealed,Su=95,Sy=55,σ,f=n/a</t>
  </si>
  <si>
    <r>
      <t>K</t>
    </r>
    <r>
      <rPr>
        <vertAlign val="subscript"/>
        <sz val="11"/>
        <color theme="1"/>
        <rFont val="Calibri"/>
        <family val="2"/>
        <scheme val="minor"/>
      </rPr>
      <t>fs</t>
    </r>
  </si>
  <si>
    <t>4130 Q&amp;T 650</t>
  </si>
  <si>
    <t>4130Q&amp;T 650,Su=118,Sy=102,σ,f=n/a</t>
  </si>
  <si>
    <t>4130 Normalized</t>
  </si>
  <si>
    <t>4130Normalized,Su=97,Sy=63,σ,f=n/a</t>
  </si>
  <si>
    <t>DE Goodman</t>
  </si>
  <si>
    <t>4130 Annealed</t>
  </si>
  <si>
    <t>4130Annealed,Su=81,Sy=52,σ,f=n/a</t>
  </si>
  <si>
    <t>4340 Q&amp;T 650</t>
  </si>
  <si>
    <t>4340Q&amp;T 650,Su=140,Sy=124,σ,f=n/a</t>
  </si>
  <si>
    <t xml:space="preserve">d </t>
  </si>
  <si>
    <t>% error d</t>
  </si>
  <si>
    <t>d corrected</t>
  </si>
  <si>
    <t>Yield</t>
  </si>
  <si>
    <r>
      <rPr>
        <sz val="11"/>
        <color theme="1"/>
        <rFont val="Calibri"/>
        <family val="2"/>
      </rPr>
      <t>σ</t>
    </r>
    <r>
      <rPr>
        <vertAlign val="subscript"/>
        <sz val="11"/>
        <color theme="1"/>
        <rFont val="Calibri"/>
        <family val="2"/>
        <scheme val="minor"/>
      </rPr>
      <t>max</t>
    </r>
  </si>
  <si>
    <r>
      <t>n</t>
    </r>
    <r>
      <rPr>
        <vertAlign val="subscript"/>
        <sz val="11"/>
        <color theme="1"/>
        <rFont val="Calibri"/>
        <family val="2"/>
        <scheme val="minor"/>
      </rPr>
      <t>y</t>
    </r>
  </si>
  <si>
    <t>d correcting for static yield</t>
  </si>
  <si>
    <t>Inputs:</t>
  </si>
  <si>
    <t>Outputs:</t>
  </si>
  <si>
    <t>Input bearing width A</t>
  </si>
  <si>
    <t>Mm</t>
  </si>
  <si>
    <t>&lt;- Test Values</t>
  </si>
  <si>
    <t>Actual Bearing Widths [in]</t>
  </si>
  <si>
    <t>Input bearing width C</t>
  </si>
  <si>
    <t>Ma</t>
  </si>
  <si>
    <t>input A</t>
  </si>
  <si>
    <t>input C</t>
  </si>
  <si>
    <t>Intermediate A</t>
  </si>
  <si>
    <t>Intermediate D</t>
  </si>
  <si>
    <t>Output A</t>
  </si>
  <si>
    <t>Output C</t>
  </si>
  <si>
    <t>Intermediate bearing width A</t>
  </si>
  <si>
    <t>Tm</t>
  </si>
  <si>
    <t>Intermediate bearing width D</t>
  </si>
  <si>
    <t>Ta</t>
  </si>
  <si>
    <t>Output bearing width A</t>
  </si>
  <si>
    <t>Output bearing width C</t>
  </si>
  <si>
    <t>Gear 1 &amp; 2 width</t>
  </si>
  <si>
    <t>Gear 3 &amp; 4 width</t>
  </si>
  <si>
    <t>From IO sheet</t>
  </si>
  <si>
    <t>Spacing</t>
  </si>
  <si>
    <t>Hard Coded</t>
  </si>
  <si>
    <t>Theta</t>
  </si>
  <si>
    <t>Outputs to IO sheet for shafts</t>
  </si>
  <si>
    <t>Gear Diameter 1</t>
  </si>
  <si>
    <t>Ouputs to IO sheet for bearings</t>
  </si>
  <si>
    <t>Gear Diameter 2</t>
  </si>
  <si>
    <t>Gear Diameter 3</t>
  </si>
  <si>
    <t>Gear Diameter 4</t>
  </si>
  <si>
    <t>Input Shaft</t>
  </si>
  <si>
    <t>A (Bearing)</t>
  </si>
  <si>
    <t>Shoulder A</t>
  </si>
  <si>
    <t>B (Pinion Gear)</t>
  </si>
  <si>
    <t>Shoulder C</t>
  </si>
  <si>
    <t>C (Bearing)</t>
  </si>
  <si>
    <t>Distance from A</t>
  </si>
  <si>
    <r>
      <t>F</t>
    </r>
    <r>
      <rPr>
        <vertAlign val="subscript"/>
        <sz val="11"/>
        <color theme="1"/>
        <rFont val="Calibri"/>
        <family val="2"/>
        <scheme val="minor"/>
      </rPr>
      <t>t</t>
    </r>
    <r>
      <rPr>
        <sz val="11"/>
        <color theme="1"/>
        <rFont val="Calibri"/>
        <family val="2"/>
        <scheme val="minor"/>
      </rPr>
      <t xml:space="preserve"> (lbf)</t>
    </r>
  </si>
  <si>
    <r>
      <t>F</t>
    </r>
    <r>
      <rPr>
        <vertAlign val="subscript"/>
        <sz val="11"/>
        <color theme="1"/>
        <rFont val="Calibri"/>
        <family val="2"/>
        <scheme val="minor"/>
      </rPr>
      <t>r</t>
    </r>
    <r>
      <rPr>
        <sz val="11"/>
        <color theme="1"/>
        <rFont val="Calibri"/>
        <family val="2"/>
        <scheme val="minor"/>
      </rPr>
      <t xml:space="preserve"> (lbf)</t>
    </r>
  </si>
  <si>
    <t>V (shear) (lbf)</t>
  </si>
  <si>
    <r>
      <t>M</t>
    </r>
    <r>
      <rPr>
        <b/>
        <vertAlign val="subscript"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 xml:space="preserve"> (in-lbf)</t>
    </r>
  </si>
  <si>
    <r>
      <t>T</t>
    </r>
    <r>
      <rPr>
        <vertAlign val="subscript"/>
        <sz val="11"/>
        <color theme="1"/>
        <rFont val="Calibri"/>
        <family val="2"/>
        <scheme val="minor"/>
      </rPr>
      <t>m</t>
    </r>
    <r>
      <rPr>
        <sz val="11"/>
        <color theme="1"/>
        <rFont val="Calibri"/>
        <family val="2"/>
        <scheme val="minor"/>
      </rPr>
      <t xml:space="preserve"> (in-lbf)</t>
    </r>
  </si>
  <si>
    <t>Intermediate Shaft</t>
  </si>
  <si>
    <t>B (Gear 2)</t>
  </si>
  <si>
    <t>C (Gear 3)</t>
  </si>
  <si>
    <t>Shoulder D</t>
  </si>
  <si>
    <t>D (Bearing)</t>
  </si>
  <si>
    <r>
      <t>F</t>
    </r>
    <r>
      <rPr>
        <vertAlign val="subscript"/>
        <sz val="11"/>
        <color theme="1"/>
        <rFont val="Calibri"/>
        <family val="2"/>
        <scheme val="minor"/>
      </rPr>
      <t>eq</t>
    </r>
    <r>
      <rPr>
        <sz val="11"/>
        <color theme="1"/>
        <rFont val="Calibri"/>
        <family val="2"/>
        <scheme val="minor"/>
      </rPr>
      <t xml:space="preserve"> (lbf)</t>
    </r>
  </si>
  <si>
    <r>
      <t>V</t>
    </r>
    <r>
      <rPr>
        <vertAlign val="subscript"/>
        <sz val="11"/>
        <color theme="1"/>
        <rFont val="Calibri"/>
        <family val="2"/>
        <scheme val="minor"/>
      </rPr>
      <t xml:space="preserve">t </t>
    </r>
    <r>
      <rPr>
        <sz val="11"/>
        <color theme="1"/>
        <rFont val="Calibri"/>
        <family val="2"/>
        <scheme val="minor"/>
      </rPr>
      <t>(shear) (lbf)</t>
    </r>
  </si>
  <si>
    <r>
      <t>V</t>
    </r>
    <r>
      <rPr>
        <vertAlign val="subscript"/>
        <sz val="11"/>
        <color theme="1"/>
        <rFont val="Calibri"/>
        <family val="2"/>
        <scheme val="minor"/>
      </rPr>
      <t xml:space="preserve">r </t>
    </r>
    <r>
      <rPr>
        <sz val="11"/>
        <color theme="1"/>
        <rFont val="Calibri"/>
        <family val="2"/>
        <scheme val="minor"/>
      </rPr>
      <t>(shear) (lbf)</t>
    </r>
  </si>
  <si>
    <r>
      <t>M</t>
    </r>
    <r>
      <rPr>
        <b/>
        <vertAlign val="subscript"/>
        <sz val="11"/>
        <color theme="1"/>
        <rFont val="Calibri"/>
        <family val="2"/>
        <scheme val="minor"/>
      </rPr>
      <t>t</t>
    </r>
    <r>
      <rPr>
        <sz val="11"/>
        <color theme="1"/>
        <rFont val="Calibri"/>
        <family val="2"/>
        <scheme val="minor"/>
      </rPr>
      <t xml:space="preserve"> (in-lbf)</t>
    </r>
  </si>
  <si>
    <r>
      <t>M</t>
    </r>
    <r>
      <rPr>
        <b/>
        <vertAlign val="subscript"/>
        <sz val="11"/>
        <color theme="1"/>
        <rFont val="Calibri"/>
        <family val="2"/>
        <scheme val="minor"/>
      </rPr>
      <t>r</t>
    </r>
    <r>
      <rPr>
        <sz val="11"/>
        <color theme="1"/>
        <rFont val="Calibri"/>
        <family val="2"/>
        <scheme val="minor"/>
      </rPr>
      <t xml:space="preserve"> (in-lbf)</t>
    </r>
  </si>
  <si>
    <t>Output Shaft</t>
  </si>
  <si>
    <t>B (Gear 4)</t>
  </si>
  <si>
    <t>Shear</t>
  </si>
  <si>
    <t>Final Output</t>
  </si>
  <si>
    <t>Outputs</t>
  </si>
  <si>
    <t>Gear Kinetics</t>
  </si>
  <si>
    <t>Gear Material, Bending and Contact Stress</t>
  </si>
  <si>
    <t>Min</t>
  </si>
  <si>
    <t>Max</t>
  </si>
  <si>
    <r>
      <t>W</t>
    </r>
    <r>
      <rPr>
        <vertAlign val="subscript"/>
        <sz val="11"/>
        <color theme="1"/>
        <rFont val="Calibri"/>
        <family val="2"/>
        <scheme val="minor"/>
      </rPr>
      <t>t</t>
    </r>
  </si>
  <si>
    <t>Gear 2,3 Material</t>
  </si>
  <si>
    <t>Loading</t>
  </si>
  <si>
    <t>W</t>
  </si>
  <si>
    <t>Wt</t>
  </si>
  <si>
    <t>Wr</t>
  </si>
  <si>
    <t>Input H (hp)</t>
  </si>
  <si>
    <t>Pitch Line V (ft/min)</t>
  </si>
  <si>
    <r>
      <t>σ</t>
    </r>
    <r>
      <rPr>
        <vertAlign val="subscript"/>
        <sz val="11"/>
        <color theme="1"/>
        <rFont val="Calibri"/>
        <family val="2"/>
      </rPr>
      <t>b</t>
    </r>
  </si>
  <si>
    <t>Name:</t>
  </si>
  <si>
    <t>Gear 1</t>
  </si>
  <si>
    <t>Input Speed (rpm)</t>
  </si>
  <si>
    <t>1 + 2</t>
  </si>
  <si>
    <t>14-41</t>
  </si>
  <si>
    <r>
      <t>S</t>
    </r>
    <r>
      <rPr>
        <vertAlign val="subscript"/>
        <sz val="11"/>
        <color theme="1"/>
        <rFont val="Calibri"/>
        <family val="2"/>
      </rPr>
      <t>F</t>
    </r>
  </si>
  <si>
    <t>St:</t>
  </si>
  <si>
    <t>Gear 2</t>
  </si>
  <si>
    <t>Output speed (rpm)</t>
  </si>
  <si>
    <t>3 + 4</t>
  </si>
  <si>
    <r>
      <t>σ</t>
    </r>
    <r>
      <rPr>
        <vertAlign val="subscript"/>
        <sz val="11"/>
        <color theme="1"/>
        <rFont val="Calibri"/>
        <family val="2"/>
      </rPr>
      <t>c</t>
    </r>
  </si>
  <si>
    <t>Sc:</t>
  </si>
  <si>
    <t>Gear 3</t>
  </si>
  <si>
    <t>Cio (in)</t>
  </si>
  <si>
    <t>Vmax</t>
  </si>
  <si>
    <t>14-42</t>
  </si>
  <si>
    <r>
      <t>S</t>
    </r>
    <r>
      <rPr>
        <vertAlign val="subscript"/>
        <sz val="11"/>
        <color theme="1"/>
        <rFont val="Calibri"/>
        <family val="2"/>
      </rPr>
      <t>H</t>
    </r>
  </si>
  <si>
    <t>Gear 4,5 Material</t>
  </si>
  <si>
    <t>Gear 4</t>
  </si>
  <si>
    <t>Life (khours)</t>
  </si>
  <si>
    <t>J</t>
  </si>
  <si>
    <t>-</t>
  </si>
  <si>
    <t>Reliability (%)</t>
  </si>
  <si>
    <t>I</t>
  </si>
  <si>
    <t>Sf, min</t>
  </si>
  <si>
    <r>
      <t>C</t>
    </r>
    <r>
      <rPr>
        <i/>
        <vertAlign val="subscript"/>
        <sz val="11"/>
        <color theme="1"/>
        <rFont val="Calibri"/>
        <family val="2"/>
        <scheme val="minor"/>
      </rPr>
      <t>p</t>
    </r>
  </si>
  <si>
    <t>Available Pitches</t>
  </si>
  <si>
    <t>Availably Qualities</t>
  </si>
  <si>
    <t>Sc, min</t>
  </si>
  <si>
    <r>
      <t>V</t>
    </r>
    <r>
      <rPr>
        <i/>
        <vertAlign val="subscript"/>
        <sz val="11"/>
        <color theme="1"/>
        <rFont val="Calibri"/>
        <family val="2"/>
        <scheme val="minor"/>
      </rPr>
      <t>line</t>
    </r>
  </si>
  <si>
    <t>fpm</t>
  </si>
  <si>
    <t>1&amp;2</t>
  </si>
  <si>
    <t>3&amp;4</t>
  </si>
  <si>
    <t>Source condition</t>
  </si>
  <si>
    <t>Uniform</t>
  </si>
  <si>
    <t>Gear Fatigue</t>
  </si>
  <si>
    <r>
      <t>K</t>
    </r>
    <r>
      <rPr>
        <i/>
        <vertAlign val="subscript"/>
        <sz val="11"/>
        <color theme="1"/>
        <rFont val="Calibri"/>
        <family val="2"/>
        <scheme val="minor"/>
      </rPr>
      <t>v</t>
    </r>
  </si>
  <si>
    <t>Quality:</t>
  </si>
  <si>
    <t>Output condition</t>
  </si>
  <si>
    <t>Light Shock</t>
  </si>
  <si>
    <r>
      <t>K</t>
    </r>
    <r>
      <rPr>
        <i/>
        <vertAlign val="subscript"/>
        <sz val="11"/>
        <color theme="1"/>
        <rFont val="Calibri"/>
        <family val="2"/>
        <scheme val="minor"/>
      </rPr>
      <t>o</t>
    </r>
  </si>
  <si>
    <t>Temperature (F)</t>
  </si>
  <si>
    <t>Gear No.</t>
  </si>
  <si>
    <r>
      <t>K</t>
    </r>
    <r>
      <rPr>
        <i/>
        <vertAlign val="subscript"/>
        <sz val="11"/>
        <color theme="1"/>
        <rFont val="Calibri"/>
        <family val="2"/>
        <scheme val="minor"/>
      </rPr>
      <t>s</t>
    </r>
  </si>
  <si>
    <t>Pitch Angle (degrees)</t>
  </si>
  <si>
    <t>Ko</t>
  </si>
  <si>
    <r>
      <t>K</t>
    </r>
    <r>
      <rPr>
        <i/>
        <vertAlign val="subscript"/>
        <sz val="11"/>
        <color theme="1"/>
        <rFont val="Calibri"/>
        <family val="2"/>
        <scheme val="minor"/>
      </rPr>
      <t>m</t>
    </r>
  </si>
  <si>
    <t>Material</t>
  </si>
  <si>
    <t>Steel G2</t>
  </si>
  <si>
    <t>Gear Geometry</t>
  </si>
  <si>
    <t>Select from table:</t>
  </si>
  <si>
    <r>
      <t>Y</t>
    </r>
    <r>
      <rPr>
        <i/>
        <vertAlign val="subscript"/>
        <sz val="11"/>
        <color theme="1"/>
        <rFont val="Calibri"/>
        <family val="2"/>
        <scheme val="minor"/>
      </rPr>
      <t>N</t>
    </r>
  </si>
  <si>
    <t>Hardness</t>
  </si>
  <si>
    <r>
      <t>Z</t>
    </r>
    <r>
      <rPr>
        <i/>
        <vertAlign val="subscript"/>
        <sz val="11"/>
        <color theme="1"/>
        <rFont val="Calibri"/>
        <family val="2"/>
        <scheme val="minor"/>
      </rPr>
      <t>N</t>
    </r>
  </si>
  <si>
    <t>Total Speed Ratio Max</t>
  </si>
  <si>
    <t>Kv</t>
  </si>
  <si>
    <r>
      <t>K</t>
    </r>
    <r>
      <rPr>
        <i/>
        <vertAlign val="subscript"/>
        <sz val="11"/>
        <color theme="1"/>
        <rFont val="Calibri"/>
        <family val="2"/>
        <scheme val="minor"/>
      </rPr>
      <t>R</t>
    </r>
  </si>
  <si>
    <t>Total Speed Ratio Min</t>
  </si>
  <si>
    <r>
      <t>K</t>
    </r>
    <r>
      <rPr>
        <i/>
        <vertAlign val="subscript"/>
        <sz val="11"/>
        <color theme="1"/>
        <rFont val="Calibri"/>
        <family val="2"/>
        <scheme val="minor"/>
      </rPr>
      <t>T</t>
    </r>
  </si>
  <si>
    <r>
      <t>K</t>
    </r>
    <r>
      <rPr>
        <i/>
        <vertAlign val="subscript"/>
        <sz val="11"/>
        <color theme="1"/>
        <rFont val="Calibri"/>
        <family val="2"/>
        <scheme val="minor"/>
      </rPr>
      <t>B</t>
    </r>
  </si>
  <si>
    <t>Speeds RPM</t>
  </si>
  <si>
    <t>Speed Ratio 1-2</t>
  </si>
  <si>
    <r>
      <t>C</t>
    </r>
    <r>
      <rPr>
        <i/>
        <vertAlign val="subscript"/>
        <sz val="11"/>
        <color theme="1"/>
        <rFont val="Calibri"/>
        <family val="2"/>
        <scheme val="minor"/>
      </rPr>
      <t>H</t>
    </r>
  </si>
  <si>
    <t>Shaft 1</t>
  </si>
  <si>
    <t>Speed Ratio 3-4 Max</t>
  </si>
  <si>
    <t>Ks</t>
  </si>
  <si>
    <t>Shaft 2</t>
  </si>
  <si>
    <t>Speed Ratio 3-4 Min</t>
  </si>
  <si>
    <t>1 for normal gears</t>
  </si>
  <si>
    <t>Shaft 3</t>
  </si>
  <si>
    <t>Speed Ratio 3-4</t>
  </si>
  <si>
    <t>Km</t>
  </si>
  <si>
    <t>I/O Data</t>
  </si>
  <si>
    <t>Cmc</t>
  </si>
  <si>
    <t>Report Data</t>
  </si>
  <si>
    <t>Pitch 1-2</t>
  </si>
  <si>
    <t>(1 uncrowned)</t>
  </si>
  <si>
    <t>User Input Data</t>
  </si>
  <si>
    <t>Pitch 3-4</t>
  </si>
  <si>
    <t>(0.8 crowned)</t>
  </si>
  <si>
    <t>Selection Choices</t>
  </si>
  <si>
    <t>Cpf</t>
  </si>
  <si>
    <t>Number of Teeth 1</t>
  </si>
  <si>
    <t>Cpm</t>
  </si>
  <si>
    <t>Number of Teeth 2</t>
  </si>
  <si>
    <t>(1 for us)</t>
  </si>
  <si>
    <t>Minimum Teeth 1</t>
  </si>
  <si>
    <t>Cma</t>
  </si>
  <si>
    <t>Negative is fine</t>
  </si>
  <si>
    <t>Maximum Teeth 2</t>
  </si>
  <si>
    <t>A (table 14-9)</t>
  </si>
  <si>
    <t>B (table 14-9)</t>
  </si>
  <si>
    <t>Gear Bending Strength, St(psi) and Contact Strength,Sc(psi)</t>
  </si>
  <si>
    <t>Number of Teeth 3</t>
  </si>
  <si>
    <t>C (table 14-9)</t>
  </si>
  <si>
    <t>m</t>
  </si>
  <si>
    <t>b</t>
  </si>
  <si>
    <t>St, min</t>
  </si>
  <si>
    <t>Sc,min</t>
  </si>
  <si>
    <t>HB,min</t>
  </si>
  <si>
    <t>Number of Teeth 4</t>
  </si>
  <si>
    <t>Ce</t>
  </si>
  <si>
    <t>Steel, Through-Hardened, G1</t>
  </si>
  <si>
    <t>Minimum Teeth 3</t>
  </si>
  <si>
    <t>Steel, Through-Hardened, G2</t>
  </si>
  <si>
    <t>Maximum Teeth 4</t>
  </si>
  <si>
    <t>Kb</t>
  </si>
  <si>
    <t>Steel, Nitrided, Through-Hardened, G1</t>
  </si>
  <si>
    <t>(1 for us rim)</t>
  </si>
  <si>
    <t>Steel, Nitrided, Through-Hardened, G2</t>
  </si>
  <si>
    <t>Pitch Diameter 1 (in)</t>
  </si>
  <si>
    <t>***</t>
  </si>
  <si>
    <t>Steel, Nitrided, Nitralloy, G1</t>
  </si>
  <si>
    <t>Pitch Diameter 2 (in)</t>
  </si>
  <si>
    <t>Teeth</t>
  </si>
  <si>
    <t>Steel, Nitrided, Nitralloy, G2</t>
  </si>
  <si>
    <t>Pitch Diameter 3 (in)</t>
  </si>
  <si>
    <t>Mated Teeth</t>
  </si>
  <si>
    <t>Steel, Nitrided, 2.5% Chrome, G1</t>
  </si>
  <si>
    <t>Pitch Diameter 4 (in)</t>
  </si>
  <si>
    <t>Cp</t>
  </si>
  <si>
    <t>Steel, Nitrided, 2.5% Chrome, G2</t>
  </si>
  <si>
    <t>Table 14-8</t>
  </si>
  <si>
    <t>Steel, Nitrided, 2.5% Chrome, G3</t>
  </si>
  <si>
    <t>Theta (degrees)</t>
  </si>
  <si>
    <t>Cf</t>
  </si>
  <si>
    <t>Steel,Carburized-Hardened</t>
  </si>
  <si>
    <t>a (in)</t>
  </si>
  <si>
    <t>ASTM A48 Gray Cast Iron, Class 20</t>
  </si>
  <si>
    <t>b (in)</t>
  </si>
  <si>
    <t>ASTM A48 Gray Cast Iron, Class 30</t>
  </si>
  <si>
    <t>(external spur gears)</t>
  </si>
  <si>
    <t>ASTM A48 Gray Cast Iron, Class 40</t>
  </si>
  <si>
    <t>Sigma b</t>
  </si>
  <si>
    <t>ASTM A536, Ductile Iron, Grade 60-40-18</t>
  </si>
  <si>
    <t>Width (in)</t>
  </si>
  <si>
    <t>Sigma c</t>
  </si>
  <si>
    <t>ASTM A536, Ductile Iron, Grade 100-70-03</t>
  </si>
  <si>
    <t>Kt</t>
  </si>
  <si>
    <t>ASTM A536, Ductile Iron, Grade 120-90-02</t>
  </si>
  <si>
    <t>(1 under 250F)</t>
  </si>
  <si>
    <t>ASTM B-148 Bronze, Sand Cast</t>
  </si>
  <si>
    <t>Kr</t>
  </si>
  <si>
    <t>ASTM B-148 Bronze, Heat Treated</t>
  </si>
  <si>
    <t>Yn</t>
  </si>
  <si>
    <t>Zn</t>
  </si>
  <si>
    <t>Load Cycles</t>
  </si>
  <si>
    <t>Coeff Yn</t>
  </si>
  <si>
    <t>Check</t>
  </si>
  <si>
    <t>Exponent Yn</t>
  </si>
  <si>
    <t>Load</t>
  </si>
  <si>
    <t>Coeff Zn</t>
  </si>
  <si>
    <t>Cycles</t>
  </si>
  <si>
    <t>Exponent Zn</t>
  </si>
  <si>
    <t>Ch</t>
  </si>
  <si>
    <t>(pinions are 1)</t>
  </si>
  <si>
    <t>(For same pinion/gear material)</t>
  </si>
  <si>
    <t>Sf</t>
  </si>
  <si>
    <t>Sh</t>
  </si>
  <si>
    <t>Elastic Coefficient Cp, sqrt(psi)</t>
  </si>
  <si>
    <t>Steel</t>
  </si>
  <si>
    <t>Malleable Iron</t>
  </si>
  <si>
    <t>Nodular Iron</t>
  </si>
  <si>
    <t>Cast Iron</t>
  </si>
  <si>
    <t>Al Bronze</t>
  </si>
  <si>
    <t>Tin Bronze</t>
  </si>
  <si>
    <t>Stress Cycle Factor YN</t>
  </si>
  <si>
    <t>Cond/Cycle</t>
  </si>
  <si>
    <t>Below Min</t>
  </si>
  <si>
    <t>a</t>
  </si>
  <si>
    <t>400HB</t>
  </si>
  <si>
    <t>Case Carb</t>
  </si>
  <si>
    <t>250HB</t>
  </si>
  <si>
    <t>Nitrided</t>
  </si>
  <si>
    <t>160HB</t>
  </si>
  <si>
    <t>opt.</t>
  </si>
  <si>
    <t>Stress Cycle Factor ZN</t>
  </si>
  <si>
    <t>Hardened</t>
  </si>
  <si>
    <t>Revolutions</t>
  </si>
  <si>
    <t>C</t>
  </si>
  <si>
    <t>D</t>
  </si>
  <si>
    <t>E</t>
  </si>
  <si>
    <t>F</t>
  </si>
  <si>
    <t>F_aA [lbf]</t>
  </si>
  <si>
    <t>Shaft_1</t>
  </si>
  <si>
    <t>Wr [kN]</t>
  </si>
  <si>
    <t>F_aB [lbf]</t>
  </si>
  <si>
    <t>Shaft_2</t>
  </si>
  <si>
    <t>Wa [kN]</t>
  </si>
  <si>
    <t>F_aC [lbf]</t>
  </si>
  <si>
    <t>Shaft_3</t>
  </si>
  <si>
    <t>i.d. [mm]</t>
  </si>
  <si>
    <t>F_aD [lbf]</t>
  </si>
  <si>
    <t>o.d [mm]</t>
  </si>
  <si>
    <t>F_aE [lbf]</t>
  </si>
  <si>
    <t>Reliability Per Bearing</t>
  </si>
  <si>
    <t>width [mm]</t>
  </si>
  <si>
    <t>F_aF [lbf]</t>
  </si>
  <si>
    <t>bearing</t>
  </si>
  <si>
    <t>F_rA [lbf]</t>
  </si>
  <si>
    <t>F_rB [lbf]</t>
  </si>
  <si>
    <t>Roller</t>
  </si>
  <si>
    <t>F_rC [lbf]</t>
  </si>
  <si>
    <t>Ball</t>
  </si>
  <si>
    <t>F_rD [lbf]</t>
  </si>
  <si>
    <t>F_rE [lbf]</t>
  </si>
  <si>
    <t>V</t>
  </si>
  <si>
    <t>F_rF [lbf]</t>
  </si>
  <si>
    <t>Inner</t>
  </si>
  <si>
    <t>Speed</t>
  </si>
  <si>
    <t>ω1 [rpm]</t>
  </si>
  <si>
    <t>Outer</t>
  </si>
  <si>
    <t>ω2 [rpm]</t>
  </si>
  <si>
    <t>ω3 [rpm]</t>
  </si>
  <si>
    <t>Inner diameters</t>
  </si>
  <si>
    <t>d_A [mm]</t>
  </si>
  <si>
    <t>Input</t>
  </si>
  <si>
    <t>d_B [mm]</t>
  </si>
  <si>
    <t>Calculation</t>
  </si>
  <si>
    <t>d_C [mm]</t>
  </si>
  <si>
    <t>From IO</t>
  </si>
  <si>
    <t>Iterative Calculations</t>
  </si>
  <si>
    <t>d_D [mm]</t>
  </si>
  <si>
    <t>Output</t>
  </si>
  <si>
    <t>d_E [mm]</t>
  </si>
  <si>
    <t>Roller/Ball</t>
  </si>
  <si>
    <t>d_F [mm]</t>
  </si>
  <si>
    <t>a [Factor for bearing type]</t>
  </si>
  <si>
    <t>Starting Bearing</t>
  </si>
  <si>
    <t>Reliability [%]</t>
  </si>
  <si>
    <t>x_D (Design life/Rated life)</t>
  </si>
  <si>
    <t>Life [khours]</t>
  </si>
  <si>
    <t>Minimum C10 [kN] (radial only)</t>
  </si>
  <si>
    <t>a_f (Application Factor)</t>
  </si>
  <si>
    <t>Initial Bearing</t>
  </si>
  <si>
    <t>Per bearing Reliability</t>
  </si>
  <si>
    <t>Outer/Inner Race Rotation</t>
  </si>
  <si>
    <t>Identical pairs per shaft (If same type)</t>
  </si>
  <si>
    <t>V [Factor for inner/outer rotation]</t>
  </si>
  <si>
    <t>C0 [kN]</t>
  </si>
  <si>
    <t>Iteration 1</t>
  </si>
  <si>
    <t>Fa/C0</t>
  </si>
  <si>
    <t>e [abscissa]</t>
  </si>
  <si>
    <t>Fa/(VFr)</t>
  </si>
  <si>
    <t>X</t>
  </si>
  <si>
    <t>Y</t>
  </si>
  <si>
    <t>Fe [kN]</t>
  </si>
  <si>
    <t>Minimum C10 [kN]</t>
  </si>
  <si>
    <t>1st Iteration Bearing</t>
  </si>
  <si>
    <t>Iteration 2</t>
  </si>
  <si>
    <t>2nd Iteration Bearing</t>
  </si>
  <si>
    <t>Iteration 3</t>
  </si>
  <si>
    <t>3rd Iteration Bearing</t>
  </si>
  <si>
    <t>Iteration 4</t>
  </si>
  <si>
    <t>4th Iteration Bearing</t>
  </si>
  <si>
    <t>Iteration 5</t>
  </si>
  <si>
    <t>5th Iteration Bearing</t>
  </si>
  <si>
    <t>Expand rows to view iterations</t>
  </si>
  <si>
    <t>Axial Load On Roller Bearing Check</t>
  </si>
  <si>
    <t>Chosen Bearing</t>
  </si>
  <si>
    <t>Design Summary Report</t>
  </si>
  <si>
    <t>Reported Fields</t>
  </si>
  <si>
    <t>units</t>
  </si>
  <si>
    <t>Gear 5</t>
  </si>
  <si>
    <t>Gear Definition</t>
  </si>
  <si>
    <r>
      <t>e</t>
    </r>
    <r>
      <rPr>
        <i/>
        <vertAlign val="subscript"/>
        <sz val="11"/>
        <color theme="1"/>
        <rFont val="Calibri"/>
        <family val="2"/>
        <scheme val="minor"/>
      </rPr>
      <t>2,3</t>
    </r>
  </si>
  <si>
    <r>
      <t>e</t>
    </r>
    <r>
      <rPr>
        <i/>
        <vertAlign val="subscript"/>
        <sz val="11"/>
        <color theme="1"/>
        <rFont val="Calibri"/>
        <family val="2"/>
        <scheme val="minor"/>
      </rPr>
      <t>3,4</t>
    </r>
  </si>
  <si>
    <r>
      <t>e</t>
    </r>
    <r>
      <rPr>
        <i/>
        <vertAlign val="subscript"/>
        <sz val="11"/>
        <color theme="1"/>
        <rFont val="Calibri"/>
        <family val="2"/>
        <scheme val="minor"/>
      </rPr>
      <t>overall</t>
    </r>
  </si>
  <si>
    <t>N</t>
  </si>
  <si>
    <t>P</t>
  </si>
  <si>
    <t>1/in</t>
  </si>
  <si>
    <r>
      <t>* e=N</t>
    </r>
    <r>
      <rPr>
        <vertAlign val="subscript"/>
        <sz val="11"/>
        <color theme="1"/>
        <rFont val="Calibri"/>
        <family val="2"/>
        <scheme val="minor"/>
      </rPr>
      <t>input</t>
    </r>
    <r>
      <rPr>
        <sz val="11"/>
        <color theme="1"/>
        <rFont val="Calibri"/>
        <family val="2"/>
        <scheme val="minor"/>
      </rPr>
      <t>/N</t>
    </r>
    <r>
      <rPr>
        <vertAlign val="subscript"/>
        <sz val="11"/>
        <color theme="1"/>
        <rFont val="Calibri"/>
        <family val="2"/>
        <scheme val="minor"/>
      </rPr>
      <t>output</t>
    </r>
    <r>
      <rPr>
        <sz val="11"/>
        <color theme="1"/>
        <rFont val="Calibri"/>
        <family val="2"/>
        <scheme val="minor"/>
      </rPr>
      <t>=</t>
    </r>
    <r>
      <rPr>
        <sz val="11"/>
        <color theme="1"/>
        <rFont val="Calibri"/>
        <family val="2"/>
      </rPr>
      <t>ω</t>
    </r>
    <r>
      <rPr>
        <vertAlign val="subscript"/>
        <sz val="11"/>
        <color theme="1"/>
        <rFont val="Calibri"/>
        <family val="2"/>
      </rPr>
      <t>output</t>
    </r>
    <r>
      <rPr>
        <sz val="11"/>
        <color theme="1"/>
        <rFont val="Calibri"/>
        <family val="2"/>
      </rPr>
      <t>/ω</t>
    </r>
    <r>
      <rPr>
        <vertAlign val="subscript"/>
        <sz val="11"/>
        <color theme="1"/>
        <rFont val="Calibri"/>
        <family val="2"/>
      </rPr>
      <t>input</t>
    </r>
  </si>
  <si>
    <r>
      <t>Q</t>
    </r>
    <r>
      <rPr>
        <i/>
        <vertAlign val="subscript"/>
        <sz val="11"/>
        <color theme="1"/>
        <rFont val="Calibri"/>
        <family val="2"/>
        <scheme val="minor"/>
      </rPr>
      <t>v</t>
    </r>
  </si>
  <si>
    <t>Shaft Defininition</t>
  </si>
  <si>
    <t>Shaft Orientation(s)</t>
  </si>
  <si>
    <r>
      <t>C</t>
    </r>
    <r>
      <rPr>
        <i/>
        <vertAlign val="subscript"/>
        <sz val="11"/>
        <color theme="1"/>
        <rFont val="Calibri"/>
        <family val="2"/>
        <scheme val="minor"/>
      </rPr>
      <t>in,layshaft</t>
    </r>
  </si>
  <si>
    <t>Su</t>
  </si>
  <si>
    <r>
      <t>C</t>
    </r>
    <r>
      <rPr>
        <i/>
        <vertAlign val="subscript"/>
        <sz val="11"/>
        <color theme="1"/>
        <rFont val="Calibri"/>
        <family val="2"/>
        <scheme val="minor"/>
      </rPr>
      <t>layshaft,out</t>
    </r>
  </si>
  <si>
    <t>Sy</t>
  </si>
  <si>
    <r>
      <t>C</t>
    </r>
    <r>
      <rPr>
        <i/>
        <vertAlign val="subscript"/>
        <sz val="11"/>
        <color theme="1"/>
        <rFont val="Calibri"/>
        <family val="2"/>
        <scheme val="minor"/>
      </rPr>
      <t>in,out</t>
    </r>
  </si>
  <si>
    <t>Se</t>
  </si>
  <si>
    <r>
      <rPr>
        <i/>
        <sz val="11"/>
        <color theme="1"/>
        <rFont val="Calibri"/>
        <family val="2"/>
      </rPr>
      <t>θ</t>
    </r>
    <r>
      <rPr>
        <i/>
        <vertAlign val="subscript"/>
        <sz val="11"/>
        <color theme="1"/>
        <rFont val="Calibri"/>
        <family val="2"/>
        <scheme val="minor"/>
      </rPr>
      <t>in,out</t>
    </r>
  </si>
  <si>
    <t>deg</t>
  </si>
  <si>
    <t>Gear Torque Transmission (K - endmill keyseat, S - spline, O - other, indicate in notes)</t>
  </si>
  <si>
    <t>K,S,O</t>
  </si>
  <si>
    <t>K</t>
  </si>
  <si>
    <t>note:</t>
  </si>
  <si>
    <t>L1</t>
  </si>
  <si>
    <t>L2</t>
  </si>
  <si>
    <t>L3</t>
  </si>
  <si>
    <t>L4</t>
  </si>
  <si>
    <t>Length</t>
  </si>
  <si>
    <t>kN</t>
  </si>
  <si>
    <t>Wa</t>
  </si>
  <si>
    <t>i.d.</t>
  </si>
  <si>
    <t>o.d.</t>
  </si>
  <si>
    <r>
      <t>n.d.</t>
    </r>
    <r>
      <rPr>
        <i/>
        <vertAlign val="subscript"/>
        <sz val="11"/>
        <color theme="1"/>
        <rFont val="Calibri"/>
        <family val="2"/>
        <scheme val="minor"/>
      </rPr>
      <t>min</t>
    </r>
  </si>
  <si>
    <t>width</t>
  </si>
  <si>
    <t>At both bearing E and F and at the gear</t>
  </si>
  <si>
    <t>e.g. 62003</t>
  </si>
  <si>
    <t>Criteria</t>
  </si>
  <si>
    <t>Goodman</t>
  </si>
  <si>
    <t>Spacers are used in between bearing and gears</t>
  </si>
  <si>
    <t>Layshaft</t>
  </si>
  <si>
    <t>L5</t>
  </si>
  <si>
    <t>At both bearings</t>
  </si>
  <si>
    <t>Spacers used between bearings and gears</t>
  </si>
  <si>
    <t>At gear 2</t>
  </si>
  <si>
    <t>1st-cycle yield</t>
  </si>
  <si>
    <t>Single row deep groove ball bearings</t>
  </si>
  <si>
    <t>Single row cylindrical roller bearings</t>
  </si>
  <si>
    <t>(adapted from SKF-rolling-bearings-catalogue.pdf)</t>
  </si>
  <si>
    <t>Sample Data Range Lookup</t>
  </si>
  <si>
    <t>Combo Box/Vlookup</t>
  </si>
  <si>
    <t>ID</t>
  </si>
  <si>
    <t>OD</t>
  </si>
  <si>
    <t>C0</t>
  </si>
  <si>
    <t>Designation</t>
  </si>
  <si>
    <t>Index Method (ID and OD known)*</t>
  </si>
  <si>
    <t>* this is an array function - use ctrl-shift-enter after modifying equation</t>
  </si>
  <si>
    <t>Equivalent Load</t>
  </si>
  <si>
    <t>Principle Dimensions</t>
  </si>
  <si>
    <t>Basic Load Ratings</t>
  </si>
  <si>
    <t>Fatigue Load Limit</t>
  </si>
  <si>
    <t>Speed Ratings</t>
  </si>
  <si>
    <t>Mass</t>
  </si>
  <si>
    <t>Dimensions</t>
  </si>
  <si>
    <t>Abutment and fillet dimensions</t>
  </si>
  <si>
    <t>Calculation Factors</t>
  </si>
  <si>
    <t>Fa/V*Fr&lt;e</t>
  </si>
  <si>
    <t>Fa/V*Fr&gt;e</t>
  </si>
  <si>
    <t xml:space="preserve"> </t>
  </si>
  <si>
    <t xml:space="preserve">  </t>
  </si>
  <si>
    <t>d [mm]</t>
  </si>
  <si>
    <t>D [mm]2</t>
  </si>
  <si>
    <t>B [mm]</t>
  </si>
  <si>
    <t>C [kN]</t>
  </si>
  <si>
    <t>Pu [Kn]</t>
  </si>
  <si>
    <t>Reference Speed [rpm]</t>
  </si>
  <si>
    <t>Limit Speed [rpm]</t>
  </si>
  <si>
    <t>[kg]</t>
  </si>
  <si>
    <t xml:space="preserve">   </t>
  </si>
  <si>
    <t>d1</t>
  </si>
  <si>
    <t>D12</t>
  </si>
  <si>
    <t>D2</t>
  </si>
  <si>
    <t>r1.2min</t>
  </si>
  <si>
    <t>da.min</t>
  </si>
  <si>
    <t>Da.max</t>
  </si>
  <si>
    <t>ra.max</t>
  </si>
  <si>
    <t>kr</t>
  </si>
  <si>
    <t>f0</t>
  </si>
  <si>
    <t>Pu</t>
  </si>
  <si>
    <t>Reference Speed</t>
  </si>
  <si>
    <t>Limit Speed</t>
  </si>
  <si>
    <t>Column3</t>
  </si>
  <si>
    <t>Column4</t>
  </si>
  <si>
    <t>Column5</t>
  </si>
  <si>
    <t>d6</t>
  </si>
  <si>
    <t>D17</t>
  </si>
  <si>
    <t>F.E</t>
  </si>
  <si>
    <t>r3.4min</t>
  </si>
  <si>
    <t>S1</t>
  </si>
  <si>
    <t>da.max</t>
  </si>
  <si>
    <t>da.Da.min</t>
  </si>
  <si>
    <t>Da.max8</t>
  </si>
  <si>
    <t>rb.max</t>
  </si>
  <si>
    <t>e</t>
  </si>
  <si>
    <t>X1</t>
  </si>
  <si>
    <t>Y1</t>
  </si>
  <si>
    <t>X2</t>
  </si>
  <si>
    <t>Y2</t>
  </si>
  <si>
    <t xml:space="preserve">618/4 </t>
  </si>
  <si>
    <t>ID/OD(mm): 15/35, C/C0(kN): 12.5/10.2</t>
  </si>
  <si>
    <t>NU202ECPPHA</t>
  </si>
  <si>
    <t>–</t>
  </si>
  <si>
    <t xml:space="preserve">618/5 </t>
  </si>
  <si>
    <t>ID/OD(mm): 17/40, C/C0(kN): 17.2/14.3</t>
  </si>
  <si>
    <t>NU203ECPPHA</t>
  </si>
  <si>
    <t xml:space="preserve">623 </t>
  </si>
  <si>
    <t>ID/OD(mm): 17/40, C/C0(kN): 23.8/21.6</t>
  </si>
  <si>
    <t>NU2203ECP–</t>
  </si>
  <si>
    <t xml:space="preserve">619/4 </t>
  </si>
  <si>
    <t>ID/OD(mm): 17/47, C/C0(kN): 28.5/20.4</t>
  </si>
  <si>
    <t>*NU303ECP–</t>
  </si>
  <si>
    <t xml:space="preserve">618/6 </t>
  </si>
  <si>
    <t>ID/OD(mm): 20/47, C/C0(kN): 28.5/22</t>
  </si>
  <si>
    <t>*NU204ECPML.PHA</t>
  </si>
  <si>
    <t xml:space="preserve">618/7 </t>
  </si>
  <si>
    <t>ID/OD(mm): 20/47, C/C0(kN): 34.5/27.5</t>
  </si>
  <si>
    <t>*NU2204ECP–</t>
  </si>
  <si>
    <t xml:space="preserve">604 </t>
  </si>
  <si>
    <t>ID/OD(mm): 20/52, C/C0(kN): 35.5/26</t>
  </si>
  <si>
    <t>*NU304ECP–</t>
  </si>
  <si>
    <t xml:space="preserve">618/8 </t>
  </si>
  <si>
    <t>ID/OD(mm): 20/52, C/C0(kN): 47.5/38</t>
  </si>
  <si>
    <t>*NU2304ECP–</t>
  </si>
  <si>
    <t xml:space="preserve">618/9 </t>
  </si>
  <si>
    <t>ID/OD(mm): 25/47, C/C0(kN): 14.2/13.2</t>
  </si>
  <si>
    <t>NU1005–</t>
  </si>
  <si>
    <t xml:space="preserve">619/5 </t>
  </si>
  <si>
    <t>ID/OD(mm): 25/52, C/C0(kN): 32.5/27</t>
  </si>
  <si>
    <t>*NU205ECPJ.ML.PHA</t>
  </si>
  <si>
    <t xml:space="preserve">619/6 </t>
  </si>
  <si>
    <t>ID/OD(mm): 25/52, C/C0(kN): 39/34</t>
  </si>
  <si>
    <t>*NU2205ECPML</t>
  </si>
  <si>
    <t xml:space="preserve">624 </t>
  </si>
  <si>
    <t>ID/OD(mm): 25/62, C/C0(kN): 46.5/36.5</t>
  </si>
  <si>
    <t>*NU305ECPJ.ML</t>
  </si>
  <si>
    <t xml:space="preserve">619/7 </t>
  </si>
  <si>
    <t>ID/OD(mm): 25/62, C/C0(kN): 64/55</t>
  </si>
  <si>
    <t>*NU2305ECPJ.ML</t>
  </si>
  <si>
    <t xml:space="preserve">634 </t>
  </si>
  <si>
    <t>ID/OD(mm): 30/55, C/C0(kN): 17.9/17.3</t>
  </si>
  <si>
    <t>NU1006–</t>
  </si>
  <si>
    <t>* 625</t>
  </si>
  <si>
    <t>ID/OD(mm): 30/62, C/C0(kN): 44/36.5</t>
  </si>
  <si>
    <t>*NU206ECPJ.ML.PH</t>
  </si>
  <si>
    <t xml:space="preserve">619/8 </t>
  </si>
  <si>
    <t>ID/OD(mm): 30/62, C/C0(kN): 55/49</t>
  </si>
  <si>
    <t>*NU2206ECPJ.ML.PH</t>
  </si>
  <si>
    <t xml:space="preserve">61800 </t>
  </si>
  <si>
    <t>ID/OD(mm): 30/72, C/C0(kN): 58.5/48</t>
  </si>
  <si>
    <t>*NU306ECPJ.M.ML</t>
  </si>
  <si>
    <t xml:space="preserve">61801 </t>
  </si>
  <si>
    <t>ID/OD(mm): 30/72, C/C0(kN): 83/75</t>
  </si>
  <si>
    <t>*NU2306ECPML</t>
  </si>
  <si>
    <t xml:space="preserve">61802 </t>
  </si>
  <si>
    <t>ID/OD(mm): 30/90, C/C0(kN): 60.5/53</t>
  </si>
  <si>
    <t>NU406MA</t>
  </si>
  <si>
    <t xml:space="preserve">61803 </t>
  </si>
  <si>
    <t>ID/OD(mm): 35/62, C/C0(kN): 35.8/38</t>
  </si>
  <si>
    <t>NU1007ECPPH</t>
  </si>
  <si>
    <t>* 635</t>
  </si>
  <si>
    <t>ID/OD(mm): 35/72, C/C0(kN): 56/48</t>
  </si>
  <si>
    <t>*NU207ECPJ.M.ML.PH</t>
  </si>
  <si>
    <t>* 626</t>
  </si>
  <si>
    <t>ID/OD(mm): 35/72, C/C0(kN): 69.5/63</t>
  </si>
  <si>
    <t>*NU2207ECPJ.ML.PH</t>
  </si>
  <si>
    <t>* 607</t>
  </si>
  <si>
    <t>*NUP2207ECPJ.ML.PH</t>
  </si>
  <si>
    <t xml:space="preserve">619/9 </t>
  </si>
  <si>
    <t>ID/OD(mm): 35/80, C/C0(kN): 75/63</t>
  </si>
  <si>
    <t>*NU307ECPJ.M.ML</t>
  </si>
  <si>
    <t xml:space="preserve">61900 </t>
  </si>
  <si>
    <t>ID/OD(mm): 35/80, C/C0(kN): 106/98</t>
  </si>
  <si>
    <t>*NU2307ECPPH</t>
  </si>
  <si>
    <t xml:space="preserve">61901 </t>
  </si>
  <si>
    <t>ID/OD(mm): 35/100, C/C0(kN): 76.5/69.5</t>
  </si>
  <si>
    <t>NU407–</t>
  </si>
  <si>
    <t>* 627</t>
  </si>
  <si>
    <t>ID/OD(mm): 40/68, C/C0(kN): 25.1/26</t>
  </si>
  <si>
    <t>NU1008ML–</t>
  </si>
  <si>
    <t>* 608</t>
  </si>
  <si>
    <t>ID/OD(mm): 40/80, C/C0(kN): 62/53</t>
  </si>
  <si>
    <t>*NU208ECPJ.M.ML.PH</t>
  </si>
  <si>
    <t>* 609</t>
  </si>
  <si>
    <t>ID/OD(mm): 40/80, C/C0(kN): 81.5/75</t>
  </si>
  <si>
    <t>*NU2208ECPJ.ML.PH</t>
  </si>
  <si>
    <t>* 628</t>
  </si>
  <si>
    <t>ID/OD(mm): 40/90, C/C0(kN): 93/78</t>
  </si>
  <si>
    <t>*NU308ECPJ.M.ML.PH</t>
  </si>
  <si>
    <t xml:space="preserve">61804 </t>
  </si>
  <si>
    <t>ID/OD(mm): 40/90, C/C0(kN): 129/120</t>
  </si>
  <si>
    <t>*NU2308ECPJ.M.ML.PH</t>
  </si>
  <si>
    <t xml:space="preserve">61902 </t>
  </si>
  <si>
    <t>ID/OD(mm): 40/110, C/C0(kN): 96.8/90</t>
  </si>
  <si>
    <t>NU408MA</t>
  </si>
  <si>
    <t xml:space="preserve">61805 </t>
  </si>
  <si>
    <t>ID/OD(mm): 45/75, C/C0(kN): 44.6/52</t>
  </si>
  <si>
    <t>NU1009ECPPH</t>
  </si>
  <si>
    <t xml:space="preserve">61807 </t>
  </si>
  <si>
    <t>ID/OD(mm): 45/85, C/C0(kN): 69.5/64</t>
  </si>
  <si>
    <t>*NU209ECPJ.M.ML</t>
  </si>
  <si>
    <t xml:space="preserve">61806 </t>
  </si>
  <si>
    <t>ID/OD(mm): 45/85, C/C0(kN): 85/81.5</t>
  </si>
  <si>
    <t>*NU2209ECPJ</t>
  </si>
  <si>
    <t xml:space="preserve">61808 </t>
  </si>
  <si>
    <t>ID/OD(mm): 45/100, C/C0(kN): 112/100</t>
  </si>
  <si>
    <t>*NU309ECPJ.M.ML.PH</t>
  </si>
  <si>
    <t xml:space="preserve">61903 </t>
  </si>
  <si>
    <t>ID/OD(mm): 45/100, C/C0(kN): 160/153</t>
  </si>
  <si>
    <t>*NU2309ECPML</t>
  </si>
  <si>
    <t>* 629</t>
  </si>
  <si>
    <t>ID/OD(mm): 45/120, C/C0(kN): 106/102</t>
  </si>
  <si>
    <t>NU409–</t>
  </si>
  <si>
    <t>* 6000</t>
  </si>
  <si>
    <t>ID/OD(mm): 50/80, C/C0(kN): 46.8/56</t>
  </si>
  <si>
    <t>NU1010ECP–</t>
  </si>
  <si>
    <t xml:space="preserve">16100 </t>
  </si>
  <si>
    <t>ID/OD(mm): 50/90, C/C0(kN): 73.5/69.5</t>
  </si>
  <si>
    <t>*NU210ECPJ.M.ML</t>
  </si>
  <si>
    <t xml:space="preserve">16101 </t>
  </si>
  <si>
    <t>ID/OD(mm): 50/90, C/C0(kN): 90/88</t>
  </si>
  <si>
    <t>*NU2210ECPJ.M.ML.PH</t>
  </si>
  <si>
    <t>* 6001</t>
  </si>
  <si>
    <t>ID/OD(mm): 50/110, C/C0(kN): 127/112</t>
  </si>
  <si>
    <t>*NU310ECPJ.M.ML.PH</t>
  </si>
  <si>
    <t>* 6200</t>
  </si>
  <si>
    <t>ID/OD(mm): 50/110, C/C0(kN): 186/186</t>
  </si>
  <si>
    <t>*NU2310ECPJ.ML.PH</t>
  </si>
  <si>
    <t>* 16002</t>
  </si>
  <si>
    <t>ID/OD(mm): 50/130, C/C0(kN): 130/127</t>
  </si>
  <si>
    <t>NU410–</t>
  </si>
  <si>
    <t>* 6002</t>
  </si>
  <si>
    <t>ID/OD(mm): 55/90, C/C0(kN): 57.2/69.5</t>
  </si>
  <si>
    <t>NU1011ECPML</t>
  </si>
  <si>
    <t>* 16003</t>
  </si>
  <si>
    <t>ID/OD(mm): 55/100, C/C0(kN): 96.5/95</t>
  </si>
  <si>
    <t>*NU211ECPJ.M.ML</t>
  </si>
  <si>
    <t xml:space="preserve">61904 </t>
  </si>
  <si>
    <t>ID/OD(mm): 55/100, C/C0(kN): 114/118</t>
  </si>
  <si>
    <t>*NU2211ECPJ.M.ML.PH</t>
  </si>
  <si>
    <t>* 6003</t>
  </si>
  <si>
    <t>ID/OD(mm): 55/120, C/C0(kN): 156/143</t>
  </si>
  <si>
    <t>*NU311ECPJ.M.ML</t>
  </si>
  <si>
    <t xml:space="preserve">61809 </t>
  </si>
  <si>
    <t>ID/OD(mm): 55/120, C/C0(kN): 232/232</t>
  </si>
  <si>
    <t>*NU2311ECPJ.ML.PH</t>
  </si>
  <si>
    <t xml:space="preserve">61810 </t>
  </si>
  <si>
    <t>ID/OD(mm): 55/140, C/C0(kN): 142/140</t>
  </si>
  <si>
    <t>NU411–</t>
  </si>
  <si>
    <t xml:space="preserve">61905 </t>
  </si>
  <si>
    <t>ID/OD(mm): 60/95, C/C0(kN): 37.4/44</t>
  </si>
  <si>
    <t>NU1012ML–</t>
  </si>
  <si>
    <t>* 16004</t>
  </si>
  <si>
    <t>ID/OD(mm): 60/110, C/C0(kN): 108/102</t>
  </si>
  <si>
    <t>*NU212ECPJ.M.ML</t>
  </si>
  <si>
    <t xml:space="preserve">61906 </t>
  </si>
  <si>
    <t>ID/OD(mm): 60/110, C/C0(kN): 146/153</t>
  </si>
  <si>
    <t>*NU2212ECPJ.M.ML</t>
  </si>
  <si>
    <t>* 6201</t>
  </si>
  <si>
    <t>ID/OD(mm): 60/130, C/C0(kN): 173/160</t>
  </si>
  <si>
    <t>*NU312ECPJ.M.ML</t>
  </si>
  <si>
    <t>* 16005</t>
  </si>
  <si>
    <t>ID/OD(mm): 60/130, C/C0(kN): 260/265</t>
  </si>
  <si>
    <t>*NU2312ECPJ.M.ML</t>
  </si>
  <si>
    <t>* 6202</t>
  </si>
  <si>
    <t>ID/OD(mm): 60/150, C/C0(kN): 168/173</t>
  </si>
  <si>
    <t>NU412–</t>
  </si>
  <si>
    <t>* 6300</t>
  </si>
  <si>
    <t>ID/OD(mm): 65/100, C/C0(kN): 62.7/81.5</t>
  </si>
  <si>
    <t>NU1013ECP–</t>
  </si>
  <si>
    <t xml:space="preserve">61811 </t>
  </si>
  <si>
    <t>ID/OD(mm): 65/120, C/C0(kN): 122/118</t>
  </si>
  <si>
    <t>*NU213ECPJ.M.ML</t>
  </si>
  <si>
    <t>* 6203</t>
  </si>
  <si>
    <t>ID/OD(mm): 65/120, C/C0(kN): 170/180</t>
  </si>
  <si>
    <t>*NU2213ECPJ.ML</t>
  </si>
  <si>
    <t>* 6004</t>
  </si>
  <si>
    <t>ID/OD(mm): 65/140, C/C0(kN): 212/196</t>
  </si>
  <si>
    <t>*NU313ECPJ.M.ML.</t>
  </si>
  <si>
    <t>PH</t>
  </si>
  <si>
    <t>* 6301</t>
  </si>
  <si>
    <t>ID/OD(mm): 65/140, C/C0(kN): 285/290</t>
  </si>
  <si>
    <t>*NU2313ECPML.PH</t>
  </si>
  <si>
    <t xml:space="preserve">61907 </t>
  </si>
  <si>
    <t>ID/OD(mm): 65/160, C/C0(kN): 183/190</t>
  </si>
  <si>
    <t>NU413M</t>
  </si>
  <si>
    <t>6203 ETN9</t>
  </si>
  <si>
    <t>ID/OD(mm): 70/110, C/C0(kN): 76.5/93</t>
  </si>
  <si>
    <t>NU1014ECP–</t>
  </si>
  <si>
    <t>* 16006</t>
  </si>
  <si>
    <t>ID/OD(mm): 70/125, C/C0(kN): 137/137</t>
  </si>
  <si>
    <t>*NU214ECPJ.M.ML.PH</t>
  </si>
  <si>
    <t xml:space="preserve">61812 </t>
  </si>
  <si>
    <t>ID/OD(mm): 70/125, C/C0(kN): 180/193</t>
  </si>
  <si>
    <t>*NU2214ECPJ.M.ML.PH</t>
  </si>
  <si>
    <t>* 6005</t>
  </si>
  <si>
    <t>ID/OD(mm): 70/150, C/C0(kN): 236/228</t>
  </si>
  <si>
    <t>*NU314ECPJ.M.ML</t>
  </si>
  <si>
    <t>* 6302</t>
  </si>
  <si>
    <t>ID/OD(mm): 70/150, C/C0(kN): 315/325</t>
  </si>
  <si>
    <t>*NU2314ECPJ.ML.PH</t>
  </si>
  <si>
    <t xml:space="preserve">61813 </t>
  </si>
  <si>
    <t>ID/OD(mm): 70/180, C/C0(kN): 229/240</t>
  </si>
  <si>
    <t>NU414MA</t>
  </si>
  <si>
    <t xml:space="preserve">61814 </t>
  </si>
  <si>
    <t>ID/OD(mm): 75/115, C/C0(kN): 58.3/71</t>
  </si>
  <si>
    <t>NU1015MLM</t>
  </si>
  <si>
    <t xml:space="preserve">61815 </t>
  </si>
  <si>
    <t>ID/OD(mm): 75/130, C/C0(kN): 150/156</t>
  </si>
  <si>
    <t>*NU215ECPJ.M.ML</t>
  </si>
  <si>
    <t>* 16007</t>
  </si>
  <si>
    <t>ID/OD(mm): 75/130, C/C0(kN): 186/208</t>
  </si>
  <si>
    <t>*NU2215ECPJ.ML.PH</t>
  </si>
  <si>
    <t xml:space="preserve">61816 </t>
  </si>
  <si>
    <t>ID/OD(mm): 75/160, C/C0(kN): 280/265</t>
  </si>
  <si>
    <t>*NU315ECPJ.M.ML</t>
  </si>
  <si>
    <t>* 6204</t>
  </si>
  <si>
    <t>ID/OD(mm): 75/160, C/C0(kN): 380/400</t>
  </si>
  <si>
    <t>*NU2315ECPJ.ML</t>
  </si>
  <si>
    <t>* 16008</t>
  </si>
  <si>
    <t>ID/OD(mm): 75/190, C/C0(kN): 264/280</t>
  </si>
  <si>
    <t>NU415–</t>
  </si>
  <si>
    <t xml:space="preserve">61908 </t>
  </si>
  <si>
    <t>ID/OD(mm): 80/125, C/C0(kN): 64.4/78</t>
  </si>
  <si>
    <t>NU1016–</t>
  </si>
  <si>
    <t>* 6006</t>
  </si>
  <si>
    <t>ID/OD(mm): 80/125, C/C0(kN): 99/127</t>
  </si>
  <si>
    <t>NJ1016ECML–</t>
  </si>
  <si>
    <t xml:space="preserve">61909 </t>
  </si>
  <si>
    <t>ID/OD(mm): 80/140, C/C0(kN): 160/166</t>
  </si>
  <si>
    <t>*NU216ECPJ.M.ML</t>
  </si>
  <si>
    <t xml:space="preserve">62/22 </t>
  </si>
  <si>
    <t>ID/OD(mm): 80/140, C/C0(kN): 212/245</t>
  </si>
  <si>
    <t>*NU2216ECPJ.M.ML</t>
  </si>
  <si>
    <t>* 6303</t>
  </si>
  <si>
    <t>ID/OD(mm): 80/170, C/C0(kN): 300/290</t>
  </si>
  <si>
    <t>*NU316ECPJ.M.ML</t>
  </si>
  <si>
    <t xml:space="preserve">61910 </t>
  </si>
  <si>
    <t>ID/OD(mm): 80/170, C/C0(kN): 415/440</t>
  </si>
  <si>
    <t>*NU2316ECPM.ML</t>
  </si>
  <si>
    <t>* 6205</t>
  </si>
  <si>
    <t>ID/OD(mm): 80/200, C/C0(kN): 303/320</t>
  </si>
  <si>
    <t>NU416M</t>
  </si>
  <si>
    <t>6204 ETN9</t>
  </si>
  <si>
    <t>ID/OD(mm): 85/150, C/C0(kN): 190/200</t>
  </si>
  <si>
    <t>*NU217ECPJ.M.ML</t>
  </si>
  <si>
    <t>* 16009</t>
  </si>
  <si>
    <t>ID/OD(mm): 85/150, C/C0(kN): 250/280</t>
  </si>
  <si>
    <t>*NU2217ECPJ.M.ML</t>
  </si>
  <si>
    <t xml:space="preserve">61911 </t>
  </si>
  <si>
    <t>ID/OD(mm): 85/180, C/C0(kN): 340/335</t>
  </si>
  <si>
    <t>*NU317ECPJ.M.ML</t>
  </si>
  <si>
    <t xml:space="preserve">61912 </t>
  </si>
  <si>
    <t>ID/OD(mm): 85/180, C/C0(kN): 455/490</t>
  </si>
  <si>
    <t>*NU2317ECPJ.M.ML</t>
  </si>
  <si>
    <t>* 16010</t>
  </si>
  <si>
    <t>ID/OD(mm): 85/210, C/C0(kN): 319/335</t>
  </si>
  <si>
    <t>NU417M</t>
  </si>
  <si>
    <t>* 6007</t>
  </si>
  <si>
    <t>ID/OD(mm): 90/140, C/C0(kN): 80.9/104</t>
  </si>
  <si>
    <t>NU1018MLM</t>
  </si>
  <si>
    <t>* 6304</t>
  </si>
  <si>
    <t>ID/OD(mm): 90/160, C/C0(kN): 208/220</t>
  </si>
  <si>
    <t>*NU218ECPJ.M.ML</t>
  </si>
  <si>
    <t xml:space="preserve">62/28 </t>
  </si>
  <si>
    <t>ID/OD(mm): 90/160, C/C0(kN): 280/315</t>
  </si>
  <si>
    <t>*NU2218ECPJ.M.ML</t>
  </si>
  <si>
    <t xml:space="preserve">61913 </t>
  </si>
  <si>
    <t>ID/OD(mm): 90/190, C/C0(kN): 365/360</t>
  </si>
  <si>
    <t>*NU318ECPJ.M.ML</t>
  </si>
  <si>
    <t xml:space="preserve">61820 </t>
  </si>
  <si>
    <t>ID/OD(mm): 90/190, C/C0(kN): 500/540</t>
  </si>
  <si>
    <t>*NU2318ECPJ.M.ML</t>
  </si>
  <si>
    <t>6205 ETN9</t>
  </si>
  <si>
    <t>ID/OD(mm): 90/225, C/C0(kN): 380/415</t>
  </si>
  <si>
    <t>NU418M</t>
  </si>
  <si>
    <t>* 6008</t>
  </si>
  <si>
    <t>ID/OD(mm): 95/145, C/C0(kN): 84.2/110</t>
  </si>
  <si>
    <t>NU1019MLM</t>
  </si>
  <si>
    <t>6304 ETN9</t>
  </si>
  <si>
    <t>ID/OD(mm): 95/170, C/C0(kN): 255/265</t>
  </si>
  <si>
    <t>*NU219ECPJ.M.ML</t>
  </si>
  <si>
    <t xml:space="preserve">63/22 </t>
  </si>
  <si>
    <t>ID/OD(mm): 95/170, C/C0(kN): 325/375</t>
  </si>
  <si>
    <t>*NU2219ECPJ.ML</t>
  </si>
  <si>
    <t xml:space="preserve">61817 </t>
  </si>
  <si>
    <t>ID/OD(mm): 95/200, C/C0(kN): 390/390</t>
  </si>
  <si>
    <t>*NU319ECPJ.M.ML</t>
  </si>
  <si>
    <t xml:space="preserve">61818 </t>
  </si>
  <si>
    <t>ID/OD(mm): 95/200, C/C0(kN): 530/585</t>
  </si>
  <si>
    <t>*NU2319ECPJ.ML13</t>
  </si>
  <si>
    <t xml:space="preserve">61819 </t>
  </si>
  <si>
    <t>ID/OD(mm): 95/240, C/C0(kN): 413/455</t>
  </si>
  <si>
    <t>NU419M–</t>
  </si>
  <si>
    <t>* 16011</t>
  </si>
  <si>
    <t>ID/OD(mm): 100/150, C/C0(kN): 85.8/114</t>
  </si>
  <si>
    <t>NU1020MLM</t>
  </si>
  <si>
    <t>* 6206</t>
  </si>
  <si>
    <t>ID/OD(mm): 100/180, C/C0(kN): 285/305</t>
  </si>
  <si>
    <t>*NU220ECPJ.M.ML10</t>
  </si>
  <si>
    <t>* 16012</t>
  </si>
  <si>
    <t>ID/OD(mm): 100/180, C/C0(kN): 380/450</t>
  </si>
  <si>
    <t>*NU2220ECPJ.M.ML10</t>
  </si>
  <si>
    <t xml:space="preserve">61821 </t>
  </si>
  <si>
    <t>ID/OD(mm): 100/215, C/C0(kN): 450/440</t>
  </si>
  <si>
    <t>*NU320ECPJ.M.ML13</t>
  </si>
  <si>
    <t>* 6009</t>
  </si>
  <si>
    <t>ID/OD(mm): 100/215, C/C0(kN): 670/735</t>
  </si>
  <si>
    <t>*NU2320ECPJ.M.ML13</t>
  </si>
  <si>
    <t>* 16013</t>
  </si>
  <si>
    <t>ID/OD(mm): 100/250, C/C0(kN): 457/520</t>
  </si>
  <si>
    <t>NU420M–27</t>
  </si>
  <si>
    <t>* 6010</t>
  </si>
  <si>
    <t xml:space="preserve">6403 </t>
  </si>
  <si>
    <t>6206 ETN9</t>
  </si>
  <si>
    <t>* 6305</t>
  </si>
  <si>
    <t xml:space="preserve">61914 </t>
  </si>
  <si>
    <t xml:space="preserve">61915 </t>
  </si>
  <si>
    <t xml:space="preserve">61916 </t>
  </si>
  <si>
    <t xml:space="preserve">63/28 </t>
  </si>
  <si>
    <t>6305 ETN9</t>
  </si>
  <si>
    <t>* 6207</t>
  </si>
  <si>
    <t xml:space="preserve">61822 </t>
  </si>
  <si>
    <t>* 16014</t>
  </si>
  <si>
    <t xml:space="preserve">61824 </t>
  </si>
  <si>
    <t>* 6011</t>
  </si>
  <si>
    <t>* 6306</t>
  </si>
  <si>
    <t>* 16015</t>
  </si>
  <si>
    <t>* 6012</t>
  </si>
  <si>
    <t xml:space="preserve">6404 </t>
  </si>
  <si>
    <t>6207 ETN9</t>
  </si>
  <si>
    <t>* 6013</t>
  </si>
  <si>
    <t xml:space="preserve">61917 </t>
  </si>
  <si>
    <t>* 6208</t>
  </si>
  <si>
    <t>6306 ETN9</t>
  </si>
  <si>
    <t xml:space="preserve">61918 </t>
  </si>
  <si>
    <t xml:space="preserve">61919 </t>
  </si>
  <si>
    <t>* 16016</t>
  </si>
  <si>
    <t>* 6209</t>
  </si>
  <si>
    <t>* 6307</t>
  </si>
  <si>
    <t>* 16017</t>
  </si>
  <si>
    <t>6208 ETN9</t>
  </si>
  <si>
    <t xml:space="preserve">6405 </t>
  </si>
  <si>
    <t>* 6210</t>
  </si>
  <si>
    <t xml:space="preserve">61826 </t>
  </si>
  <si>
    <t xml:space="preserve">61828 </t>
  </si>
  <si>
    <t>* 6014</t>
  </si>
  <si>
    <t>* 6015</t>
  </si>
  <si>
    <t xml:space="preserve">61920 </t>
  </si>
  <si>
    <t>* 6308</t>
  </si>
  <si>
    <t>* 16018</t>
  </si>
  <si>
    <t xml:space="preserve">61922 </t>
  </si>
  <si>
    <t xml:space="preserve">6406 </t>
  </si>
  <si>
    <t xml:space="preserve">61921 </t>
  </si>
  <si>
    <t>* 16019</t>
  </si>
  <si>
    <t>* 16020</t>
  </si>
  <si>
    <t>* 6211</t>
  </si>
  <si>
    <t xml:space="preserve">61830 </t>
  </si>
  <si>
    <t xml:space="preserve">61832 </t>
  </si>
  <si>
    <t>* 6016</t>
  </si>
  <si>
    <t>* 6017</t>
  </si>
  <si>
    <t>* 16021</t>
  </si>
  <si>
    <t>* 6212</t>
  </si>
  <si>
    <t xml:space="preserve">61924 </t>
  </si>
  <si>
    <t xml:space="preserve">6407 </t>
  </si>
  <si>
    <t>* 6309</t>
  </si>
  <si>
    <t>* 6213</t>
  </si>
  <si>
    <t>* 16022</t>
  </si>
  <si>
    <t>* 6018</t>
  </si>
  <si>
    <t xml:space="preserve">61834 </t>
  </si>
  <si>
    <t xml:space="preserve">61836 </t>
  </si>
  <si>
    <t>* 16024</t>
  </si>
  <si>
    <t>* 6214</t>
  </si>
  <si>
    <t>* 6019</t>
  </si>
  <si>
    <t>* 6020</t>
  </si>
  <si>
    <t xml:space="preserve">6408 </t>
  </si>
  <si>
    <t xml:space="preserve">61926 </t>
  </si>
  <si>
    <t>* 6310</t>
  </si>
  <si>
    <t xml:space="preserve">61928 </t>
  </si>
  <si>
    <t>61928 MA</t>
  </si>
  <si>
    <t>* 6215</t>
  </si>
  <si>
    <t>* 6216</t>
  </si>
  <si>
    <t>* 6311</t>
  </si>
  <si>
    <t>* 6021</t>
  </si>
  <si>
    <t xml:space="preserve">6409 </t>
  </si>
  <si>
    <t xml:space="preserve">16028 </t>
  </si>
  <si>
    <t>* 16026</t>
  </si>
  <si>
    <t>* 6022</t>
  </si>
  <si>
    <t>* 6312</t>
  </si>
  <si>
    <t>* 6217</t>
  </si>
  <si>
    <t xml:space="preserve">6410 </t>
  </si>
  <si>
    <t>* 6024</t>
  </si>
  <si>
    <t>61930 MA</t>
  </si>
  <si>
    <t xml:space="preserve">16030 </t>
  </si>
  <si>
    <t xml:space="preserve">61932 </t>
  </si>
  <si>
    <t>61932 MA</t>
  </si>
  <si>
    <t>61934 MA</t>
  </si>
  <si>
    <t>* 6313</t>
  </si>
  <si>
    <t xml:space="preserve">16032 </t>
  </si>
  <si>
    <t xml:space="preserve">6411 </t>
  </si>
  <si>
    <t>* 6218</t>
  </si>
  <si>
    <t xml:space="preserve">6412 </t>
  </si>
  <si>
    <t xml:space="preserve">6028 </t>
  </si>
  <si>
    <t>* 6314</t>
  </si>
  <si>
    <t>* 6026</t>
  </si>
  <si>
    <t>* 6219</t>
  </si>
  <si>
    <t xml:space="preserve">16034 </t>
  </si>
  <si>
    <t xml:space="preserve">61936 </t>
  </si>
  <si>
    <t>61936 MA</t>
  </si>
  <si>
    <t xml:space="preserve">6413 </t>
  </si>
  <si>
    <t>* 6315</t>
  </si>
  <si>
    <t xml:space="preserve">6030 </t>
  </si>
  <si>
    <t>* 6220</t>
  </si>
  <si>
    <t>* 6316</t>
  </si>
  <si>
    <t xml:space="preserve">16036 </t>
  </si>
  <si>
    <t>* 6221</t>
  </si>
  <si>
    <t>* 6317</t>
  </si>
  <si>
    <t xml:space="preserve">6032 </t>
  </si>
  <si>
    <t xml:space="preserve">6414 </t>
  </si>
  <si>
    <t xml:space="preserve">6224 </t>
  </si>
  <si>
    <t>* 6222</t>
  </si>
  <si>
    <t>* 6318</t>
  </si>
  <si>
    <t xml:space="preserve">6415 </t>
  </si>
  <si>
    <t xml:space="preserve">6226 </t>
  </si>
  <si>
    <t>* 6319</t>
  </si>
  <si>
    <t xml:space="preserve">6416 </t>
  </si>
  <si>
    <t xml:space="preserve">6228 </t>
  </si>
  <si>
    <t xml:space="preserve">6034 </t>
  </si>
  <si>
    <t>6034 M</t>
  </si>
  <si>
    <t xml:space="preserve">6230 </t>
  </si>
  <si>
    <t xml:space="preserve">6320 </t>
  </si>
  <si>
    <t xml:space="preserve">6417 </t>
  </si>
  <si>
    <t xml:space="preserve">6321 </t>
  </si>
  <si>
    <t xml:space="preserve">6232 </t>
  </si>
  <si>
    <t xml:space="preserve">6418 </t>
  </si>
  <si>
    <t xml:space="preserve">6036 </t>
  </si>
  <si>
    <t>6036 M</t>
  </si>
  <si>
    <t xml:space="preserve">6322 </t>
  </si>
  <si>
    <t xml:space="preserve">6324 </t>
  </si>
  <si>
    <t xml:space="preserve">6234 </t>
  </si>
  <si>
    <t>6234 M</t>
  </si>
  <si>
    <t xml:space="preserve">6236 </t>
  </si>
  <si>
    <t>6236 M</t>
  </si>
  <si>
    <t xml:space="preserve">6326 </t>
  </si>
  <si>
    <t>6326 M</t>
  </si>
  <si>
    <t xml:space="preserve">6328 </t>
  </si>
  <si>
    <t>6328 M</t>
  </si>
  <si>
    <t xml:space="preserve">6330 </t>
  </si>
  <si>
    <t>6330 M</t>
  </si>
  <si>
    <t xml:space="preserve">6332 </t>
  </si>
  <si>
    <t>6332 M</t>
  </si>
  <si>
    <t xml:space="preserve">6334 </t>
  </si>
  <si>
    <t>6334 M</t>
  </si>
  <si>
    <t xml:space="preserve">6336 </t>
  </si>
  <si>
    <t>6336 M</t>
  </si>
  <si>
    <t>Summary/Gears</t>
  </si>
  <si>
    <t>Surface Finish</t>
  </si>
  <si>
    <t>Materials (Shigleys/1986 SAE Handbook/misc.)</t>
  </si>
  <si>
    <t>Ground</t>
  </si>
  <si>
    <t>AISI</t>
  </si>
  <si>
    <t>Condition</t>
  </si>
  <si>
    <t>͠σ,f</t>
  </si>
  <si>
    <t>Machined or CD</t>
  </si>
  <si>
    <t>HR</t>
  </si>
  <si>
    <t>CD</t>
  </si>
  <si>
    <t>As-forged</t>
  </si>
  <si>
    <t>Reliability</t>
  </si>
  <si>
    <t>ke</t>
  </si>
  <si>
    <t>Overload Factor, Ko</t>
  </si>
  <si>
    <t>Annealed</t>
  </si>
  <si>
    <t>PS/DM</t>
  </si>
  <si>
    <t>Medium Shock</t>
  </si>
  <si>
    <t>Load Factor</t>
  </si>
  <si>
    <t>Q&amp;T 650</t>
  </si>
  <si>
    <t>Bending</t>
  </si>
  <si>
    <t>Normalized</t>
  </si>
  <si>
    <t>Axial</t>
  </si>
  <si>
    <t>Torsion</t>
  </si>
  <si>
    <t>Combined</t>
  </si>
  <si>
    <t>Lewis Form Factor, Y</t>
  </si>
  <si>
    <t>Number of Teeth</t>
  </si>
  <si>
    <t>Crowned/Uncrowned</t>
  </si>
  <si>
    <t>Adj at Assy?</t>
  </si>
  <si>
    <t>Crowned</t>
  </si>
  <si>
    <t>Adjusted at Assy</t>
  </si>
  <si>
    <t>Uncrowned</t>
  </si>
  <si>
    <t>All Other Cond</t>
  </si>
  <si>
    <t>Enclosure Constants</t>
  </si>
  <si>
    <t>Open Gearing</t>
  </si>
  <si>
    <t>Commercial, Enclosed</t>
  </si>
  <si>
    <t>Precision, Enclosed</t>
  </si>
  <si>
    <t>Extraprecision, Enclosed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</si>
</sst>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0.000"/>
    <numFmt numFmtId="165" formatCode="0.0"/>
    <numFmt numFmtId="166" formatCode="0.0000"/>
    <numFmt numFmtId="167" formatCode="0.00000"/>
  </numFmts>
  <fonts count="29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vertAlign val="subscript"/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vertAlign val="subscript"/>
      <sz val="11"/>
      <color theme="1"/>
      <name val="Calibri"/>
      <family val="2"/>
    </font>
    <font>
      <sz val="11"/>
      <color rgb="FF00B050"/>
      <name val="Calibri"/>
      <family val="2"/>
      <scheme val="minor"/>
    </font>
    <font>
      <i/>
      <sz val="11"/>
      <color theme="1"/>
      <name val="Calibri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22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8"/>
      <name val="Calibri"/>
      <family val="2"/>
      <scheme val="minor"/>
    </font>
    <font>
      <b/>
      <vertAlign val="subscript"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i/>
      <sz val="11"/>
      <name val="Calibri"/>
      <family val="2"/>
      <scheme val="minor"/>
    </font>
    <font>
      <sz val="11"/>
      <color theme="8" tint="-0.249977111117893"/>
      <name val="Calibri"/>
      <family val="2"/>
      <scheme val="minor"/>
    </font>
  </fonts>
  <fills count="31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FC0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2F2F2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6EFCE"/>
      </patternFill>
    </fill>
    <fill>
      <patternFill patternType="solid">
        <fgColor theme="4" tint="0.59999389629810485"/>
        <bgColor indexed="65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CC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00B0F0"/>
        <bgColor indexed="64"/>
      </patternFill>
    </fill>
  </fills>
  <borders count="6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/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indexed="64"/>
      </right>
      <top style="thin">
        <color theme="0" tint="-0.499984740745262"/>
      </top>
      <bottom/>
      <diagonal/>
    </border>
    <border>
      <left/>
      <right style="thin">
        <color rgb="FF7F7F7F"/>
      </right>
      <top/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thin">
        <color indexed="64"/>
      </right>
      <top style="thin">
        <color theme="0" tint="-0.499984740745262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1"/>
      </left>
      <right style="thin">
        <color theme="1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indexed="64"/>
      </right>
      <top style="thin">
        <color rgb="FF7F7F7F"/>
      </top>
      <bottom style="thin">
        <color rgb="FF7F7F7F"/>
      </bottom>
      <diagonal/>
    </border>
    <border>
      <left style="thin">
        <color theme="0" tint="-0.499984740745262"/>
      </left>
      <right style="thin">
        <color indexed="64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/>
      <bottom/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/>
      <diagonal/>
    </border>
  </borders>
  <cellStyleXfs count="11">
    <xf numFmtId="0" fontId="0" fillId="0" borderId="0"/>
    <xf numFmtId="0" fontId="1" fillId="2" borderId="1" applyNumberFormat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5" fillId="7" borderId="0" applyNumberFormat="0" applyBorder="0" applyAlignment="0" applyProtection="0"/>
    <xf numFmtId="0" fontId="15" fillId="8" borderId="0" applyNumberFormat="0" applyBorder="0" applyAlignment="0" applyProtection="0"/>
    <xf numFmtId="0" fontId="20" fillId="15" borderId="1" applyNumberFormat="0" applyAlignment="0" applyProtection="0"/>
    <xf numFmtId="43" fontId="15" fillId="0" borderId="0" applyFont="0" applyFill="0" applyBorder="0" applyAlignment="0" applyProtection="0"/>
    <xf numFmtId="0" fontId="24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45" applyNumberFormat="0" applyFont="0" applyAlignment="0" applyProtection="0"/>
    <xf numFmtId="0" fontId="15" fillId="25" borderId="0" applyNumberFormat="0" applyBorder="0" applyAlignment="0" applyProtection="0"/>
  </cellStyleXfs>
  <cellXfs count="310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/>
    <xf numFmtId="0" fontId="1" fillId="2" borderId="1" xfId="1" applyAlignment="1"/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right"/>
    </xf>
    <xf numFmtId="0" fontId="5" fillId="0" borderId="0" xfId="0" quotePrefix="1" applyFont="1" applyAlignment="1">
      <alignment horizontal="center"/>
    </xf>
    <xf numFmtId="0" fontId="1" fillId="2" borderId="1" xfId="1" applyAlignment="1">
      <alignment horizontal="center"/>
    </xf>
    <xf numFmtId="164" fontId="1" fillId="2" borderId="1" xfId="1" applyNumberFormat="1" applyAlignment="1">
      <alignment horizontal="center"/>
    </xf>
    <xf numFmtId="0" fontId="0" fillId="0" borderId="0" xfId="0" applyAlignment="1">
      <alignment horizontal="left"/>
    </xf>
    <xf numFmtId="2" fontId="1" fillId="2" borderId="1" xfId="1" applyNumberFormat="1" applyAlignment="1">
      <alignment horizontal="center"/>
    </xf>
    <xf numFmtId="2" fontId="10" fillId="0" borderId="0" xfId="0" applyNumberFormat="1" applyFont="1"/>
    <xf numFmtId="1" fontId="1" fillId="2" borderId="1" xfId="1" applyNumberFormat="1" applyAlignment="1">
      <alignment horizontal="center"/>
    </xf>
    <xf numFmtId="0" fontId="4" fillId="0" borderId="0" xfId="0" applyFont="1" applyAlignment="1">
      <alignment horizontal="left"/>
    </xf>
    <xf numFmtId="0" fontId="0" fillId="0" borderId="0" xfId="0" applyAlignment="1">
      <alignment horizontal="right"/>
    </xf>
    <xf numFmtId="0" fontId="5" fillId="0" borderId="0" xfId="0" applyFont="1" applyAlignment="1">
      <alignment horizontal="left"/>
    </xf>
    <xf numFmtId="0" fontId="8" fillId="0" borderId="0" xfId="0" applyFont="1" applyAlignment="1">
      <alignment horizontal="right"/>
    </xf>
    <xf numFmtId="165" fontId="1" fillId="2" borderId="1" xfId="1" applyNumberFormat="1" applyAlignment="1">
      <alignment horizontal="center"/>
    </xf>
    <xf numFmtId="164" fontId="1" fillId="2" borderId="2" xfId="1" applyNumberFormat="1" applyBorder="1" applyAlignment="1">
      <alignment horizontal="center"/>
    </xf>
    <xf numFmtId="0" fontId="1" fillId="0" borderId="0" xfId="1" applyFill="1" applyBorder="1" applyAlignment="1">
      <alignment horizontal="center"/>
    </xf>
    <xf numFmtId="0" fontId="2" fillId="0" borderId="0" xfId="2" applyAlignment="1">
      <alignment horizontal="center"/>
    </xf>
    <xf numFmtId="0" fontId="10" fillId="0" borderId="0" xfId="0" applyFont="1"/>
    <xf numFmtId="165" fontId="1" fillId="2" borderId="3" xfId="1" applyNumberFormat="1" applyBorder="1" applyAlignment="1">
      <alignment horizontal="center"/>
    </xf>
    <xf numFmtId="11" fontId="0" fillId="0" borderId="0" xfId="0" applyNumberFormat="1" applyAlignment="1">
      <alignment horizontal="center"/>
    </xf>
    <xf numFmtId="0" fontId="1" fillId="2" borderId="1" xfId="1" applyAlignment="1">
      <alignment vertical="top"/>
    </xf>
    <xf numFmtId="0" fontId="1" fillId="0" borderId="0" xfId="1" applyFill="1" applyBorder="1" applyAlignment="1">
      <alignment vertical="top"/>
    </xf>
    <xf numFmtId="0" fontId="4" fillId="0" borderId="0" xfId="0" applyFont="1" applyAlignment="1">
      <alignment horizontal="right"/>
    </xf>
    <xf numFmtId="0" fontId="5" fillId="0" borderId="0" xfId="0" applyFont="1" applyAlignment="1">
      <alignment wrapText="1"/>
    </xf>
    <xf numFmtId="0" fontId="5" fillId="0" borderId="0" xfId="0" applyFont="1" applyAlignment="1">
      <alignment vertical="center" wrapText="1"/>
    </xf>
    <xf numFmtId="0" fontId="1" fillId="0" borderId="0" xfId="1" applyFill="1" applyBorder="1" applyAlignment="1"/>
    <xf numFmtId="164" fontId="1" fillId="2" borderId="1" xfId="1" applyNumberFormat="1" applyAlignment="1"/>
    <xf numFmtId="0" fontId="5" fillId="0" borderId="0" xfId="0" applyFont="1"/>
    <xf numFmtId="0" fontId="0" fillId="0" borderId="5" xfId="0" applyBorder="1"/>
    <xf numFmtId="0" fontId="0" fillId="0" borderId="7" xfId="0" applyBorder="1"/>
    <xf numFmtId="0" fontId="12" fillId="0" borderId="0" xfId="0" applyFont="1"/>
    <xf numFmtId="0" fontId="0" fillId="3" borderId="0" xfId="0" applyFill="1" applyAlignment="1">
      <alignment horizontal="center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left" wrapText="1"/>
    </xf>
    <xf numFmtId="0" fontId="0" fillId="0" borderId="9" xfId="0" applyBorder="1"/>
    <xf numFmtId="0" fontId="13" fillId="0" borderId="0" xfId="0" applyFont="1"/>
    <xf numFmtId="0" fontId="0" fillId="4" borderId="0" xfId="0" applyFill="1"/>
    <xf numFmtId="0" fontId="14" fillId="4" borderId="0" xfId="0" applyFont="1" applyFill="1"/>
    <xf numFmtId="0" fontId="0" fillId="5" borderId="0" xfId="0" applyFill="1"/>
    <xf numFmtId="0" fontId="14" fillId="0" borderId="0" xfId="0" applyFont="1"/>
    <xf numFmtId="0" fontId="4" fillId="7" borderId="0" xfId="3" applyFont="1"/>
    <xf numFmtId="0" fontId="0" fillId="7" borderId="0" xfId="3" applyFont="1"/>
    <xf numFmtId="0" fontId="0" fillId="8" borderId="0" xfId="4" applyFont="1"/>
    <xf numFmtId="0" fontId="0" fillId="8" borderId="0" xfId="4" applyFont="1" applyAlignment="1">
      <alignment horizontal="right"/>
    </xf>
    <xf numFmtId="0" fontId="0" fillId="8" borderId="0" xfId="4" applyFont="1" applyAlignment="1">
      <alignment horizontal="left"/>
    </xf>
    <xf numFmtId="0" fontId="0" fillId="7" borderId="0" xfId="3" applyFont="1" applyAlignment="1">
      <alignment horizontal="right"/>
    </xf>
    <xf numFmtId="11" fontId="0" fillId="7" borderId="0" xfId="3" applyNumberFormat="1" applyFont="1"/>
    <xf numFmtId="164" fontId="0" fillId="7" borderId="0" xfId="3" applyNumberFormat="1" applyFont="1"/>
    <xf numFmtId="11" fontId="0" fillId="0" borderId="0" xfId="0" applyNumberFormat="1"/>
    <xf numFmtId="0" fontId="0" fillId="0" borderId="14" xfId="0" applyBorder="1"/>
    <xf numFmtId="0" fontId="0" fillId="9" borderId="14" xfId="0" applyFill="1" applyBorder="1"/>
    <xf numFmtId="0" fontId="0" fillId="11" borderId="15" xfId="0" applyFill="1" applyBorder="1"/>
    <xf numFmtId="0" fontId="0" fillId="0" borderId="15" xfId="0" applyBorder="1"/>
    <xf numFmtId="0" fontId="0" fillId="0" borderId="16" xfId="0" applyBorder="1"/>
    <xf numFmtId="0" fontId="4" fillId="0" borderId="0" xfId="0" applyFont="1" applyAlignment="1">
      <alignment horizontal="center"/>
    </xf>
    <xf numFmtId="0" fontId="0" fillId="12" borderId="0" xfId="0" applyFill="1"/>
    <xf numFmtId="0" fontId="16" fillId="0" borderId="0" xfId="0" applyFont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2" xfId="0" applyBorder="1"/>
    <xf numFmtId="0" fontId="0" fillId="0" borderId="22" xfId="0" applyBorder="1" applyAlignment="1">
      <alignment horizontal="center"/>
    </xf>
    <xf numFmtId="0" fontId="5" fillId="0" borderId="22" xfId="0" applyFont="1" applyBorder="1" applyAlignment="1">
      <alignment horizontal="left"/>
    </xf>
    <xf numFmtId="0" fontId="5" fillId="0" borderId="24" xfId="0" quotePrefix="1" applyFont="1" applyBorder="1" applyAlignment="1">
      <alignment horizontal="center"/>
    </xf>
    <xf numFmtId="0" fontId="0" fillId="0" borderId="24" xfId="0" applyBorder="1"/>
    <xf numFmtId="0" fontId="0" fillId="0" borderId="26" xfId="0" applyBorder="1"/>
    <xf numFmtId="0" fontId="4" fillId="0" borderId="21" xfId="0" applyFont="1" applyBorder="1" applyAlignment="1">
      <alignment horizontal="left"/>
    </xf>
    <xf numFmtId="0" fontId="0" fillId="0" borderId="21" xfId="0" applyBorder="1" applyAlignment="1">
      <alignment horizontal="right"/>
    </xf>
    <xf numFmtId="0" fontId="8" fillId="0" borderId="21" xfId="0" applyFont="1" applyBorder="1" applyAlignment="1">
      <alignment horizontal="right"/>
    </xf>
    <xf numFmtId="0" fontId="5" fillId="0" borderId="21" xfId="0" applyFont="1" applyBorder="1" applyAlignment="1">
      <alignment horizontal="right"/>
    </xf>
    <xf numFmtId="0" fontId="5" fillId="0" borderId="23" xfId="0" applyFont="1" applyBorder="1" applyAlignment="1">
      <alignment horizontal="right"/>
    </xf>
    <xf numFmtId="0" fontId="0" fillId="0" borderId="10" xfId="0" applyBorder="1"/>
    <xf numFmtId="0" fontId="0" fillId="0" borderId="0" xfId="0" applyAlignment="1">
      <alignment horizontal="center" vertical="center"/>
    </xf>
    <xf numFmtId="12" fontId="0" fillId="0" borderId="6" xfId="0" applyNumberFormat="1" applyBorder="1"/>
    <xf numFmtId="0" fontId="0" fillId="0" borderId="17" xfId="0" applyBorder="1" applyAlignment="1">
      <alignment horizontal="center"/>
    </xf>
    <xf numFmtId="0" fontId="0" fillId="13" borderId="0" xfId="0" applyFill="1"/>
    <xf numFmtId="0" fontId="0" fillId="14" borderId="0" xfId="0" applyFill="1"/>
    <xf numFmtId="2" fontId="0" fillId="5" borderId="0" xfId="0" applyNumberFormat="1" applyFill="1"/>
    <xf numFmtId="0" fontId="13" fillId="0" borderId="0" xfId="0" applyFont="1" applyAlignment="1">
      <alignment horizontal="center" vertical="center" textRotation="90"/>
    </xf>
    <xf numFmtId="0" fontId="0" fillId="0" borderId="0" xfId="4" applyFont="1" applyFill="1" applyAlignment="1">
      <alignment horizontal="center" vertical="center"/>
    </xf>
    <xf numFmtId="0" fontId="20" fillId="15" borderId="1" xfId="5"/>
    <xf numFmtId="0" fontId="20" fillId="15" borderId="1" xfId="5" applyAlignment="1">
      <alignment horizontal="center"/>
    </xf>
    <xf numFmtId="0" fontId="0" fillId="6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0" fillId="5" borderId="0" xfId="0" applyFill="1" applyAlignment="1">
      <alignment horizontal="center"/>
    </xf>
    <xf numFmtId="2" fontId="0" fillId="5" borderId="0" xfId="0" applyNumberFormat="1" applyFill="1" applyAlignment="1">
      <alignment horizontal="center"/>
    </xf>
    <xf numFmtId="2" fontId="0" fillId="0" borderId="0" xfId="6" applyNumberFormat="1" applyFont="1" applyAlignment="1">
      <alignment horizontal="center"/>
    </xf>
    <xf numFmtId="0" fontId="0" fillId="0" borderId="29" xfId="0" applyBorder="1"/>
    <xf numFmtId="0" fontId="0" fillId="9" borderId="23" xfId="0" applyFill="1" applyBorder="1"/>
    <xf numFmtId="0" fontId="0" fillId="0" borderId="30" xfId="0" applyBorder="1"/>
    <xf numFmtId="0" fontId="0" fillId="10" borderId="4" xfId="0" applyFill="1" applyBorder="1"/>
    <xf numFmtId="0" fontId="0" fillId="16" borderId="4" xfId="0" applyFill="1" applyBorder="1"/>
    <xf numFmtId="164" fontId="0" fillId="5" borderId="0" xfId="0" applyNumberFormat="1" applyFill="1" applyAlignment="1">
      <alignment horizontal="center"/>
    </xf>
    <xf numFmtId="164" fontId="20" fillId="15" borderId="1" xfId="5" applyNumberFormat="1" applyAlignment="1">
      <alignment horizontal="center"/>
    </xf>
    <xf numFmtId="2" fontId="0" fillId="0" borderId="0" xfId="0" applyNumberFormat="1" applyAlignment="1">
      <alignment horizontal="center"/>
    </xf>
    <xf numFmtId="0" fontId="0" fillId="0" borderId="6" xfId="0" applyBorder="1"/>
    <xf numFmtId="0" fontId="0" fillId="0" borderId="8" xfId="0" applyBorder="1"/>
    <xf numFmtId="0" fontId="0" fillId="10" borderId="8" xfId="0" applyFill="1" applyBorder="1"/>
    <xf numFmtId="0" fontId="0" fillId="0" borderId="5" xfId="0" applyBorder="1" applyAlignment="1">
      <alignment wrapText="1"/>
    </xf>
    <xf numFmtId="0" fontId="0" fillId="0" borderId="31" xfId="0" applyBorder="1" applyAlignment="1">
      <alignment wrapText="1"/>
    </xf>
    <xf numFmtId="0" fontId="0" fillId="0" borderId="6" xfId="0" applyBorder="1" applyAlignment="1">
      <alignment wrapText="1"/>
    </xf>
    <xf numFmtId="0" fontId="0" fillId="0" borderId="0" xfId="0" applyAlignment="1">
      <alignment wrapText="1"/>
    </xf>
    <xf numFmtId="0" fontId="0" fillId="0" borderId="7" xfId="0" applyBorder="1" applyAlignment="1">
      <alignment wrapText="1"/>
    </xf>
    <xf numFmtId="0" fontId="0" fillId="0" borderId="8" xfId="0" applyBorder="1" applyAlignment="1">
      <alignment wrapText="1"/>
    </xf>
    <xf numFmtId="0" fontId="0" fillId="0" borderId="9" xfId="0" applyBorder="1" applyAlignment="1">
      <alignment wrapText="1"/>
    </xf>
    <xf numFmtId="0" fontId="0" fillId="0" borderId="32" xfId="0" applyBorder="1" applyAlignment="1">
      <alignment wrapText="1"/>
    </xf>
    <xf numFmtId="0" fontId="0" fillId="0" borderId="32" xfId="0" applyBorder="1"/>
    <xf numFmtId="0" fontId="0" fillId="0" borderId="10" xfId="0" applyBorder="1" applyAlignment="1">
      <alignment wrapText="1"/>
    </xf>
    <xf numFmtId="2" fontId="0" fillId="5" borderId="33" xfId="0" applyNumberFormat="1" applyFill="1" applyBorder="1"/>
    <xf numFmtId="2" fontId="0" fillId="5" borderId="34" xfId="0" applyNumberFormat="1" applyFill="1" applyBorder="1"/>
    <xf numFmtId="0" fontId="0" fillId="10" borderId="0" xfId="0" applyFill="1"/>
    <xf numFmtId="165" fontId="0" fillId="0" borderId="0" xfId="0" applyNumberFormat="1"/>
    <xf numFmtId="0" fontId="0" fillId="0" borderId="5" xfId="0" applyBorder="1" applyAlignment="1">
      <alignment horizontal="center"/>
    </xf>
    <xf numFmtId="0" fontId="0" fillId="13" borderId="39" xfId="0" applyFill="1" applyBorder="1"/>
    <xf numFmtId="0" fontId="0" fillId="13" borderId="41" xfId="0" applyFill="1" applyBorder="1"/>
    <xf numFmtId="11" fontId="0" fillId="5" borderId="6" xfId="0" applyNumberFormat="1" applyFill="1" applyBorder="1"/>
    <xf numFmtId="0" fontId="5" fillId="0" borderId="4" xfId="0" applyFont="1" applyBorder="1" applyAlignment="1">
      <alignment horizontal="center"/>
    </xf>
    <xf numFmtId="16" fontId="0" fillId="0" borderId="7" xfId="0" applyNumberFormat="1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9" xfId="0" applyBorder="1" applyAlignment="1">
      <alignment horizontal="right"/>
    </xf>
    <xf numFmtId="0" fontId="2" fillId="0" borderId="8" xfId="0" applyFont="1" applyBorder="1"/>
    <xf numFmtId="164" fontId="14" fillId="2" borderId="42" xfId="1" applyNumberFormat="1" applyFont="1" applyBorder="1" applyAlignment="1">
      <alignment horizontal="center"/>
    </xf>
    <xf numFmtId="164" fontId="14" fillId="2" borderId="43" xfId="1" applyNumberFormat="1" applyFont="1" applyBorder="1" applyAlignment="1">
      <alignment horizontal="center"/>
    </xf>
    <xf numFmtId="0" fontId="14" fillId="2" borderId="43" xfId="1" applyFont="1" applyBorder="1" applyAlignment="1">
      <alignment horizontal="center"/>
    </xf>
    <xf numFmtId="0" fontId="14" fillId="2" borderId="44" xfId="1" applyFont="1" applyBorder="1" applyAlignment="1">
      <alignment horizontal="center"/>
    </xf>
    <xf numFmtId="165" fontId="0" fillId="6" borderId="0" xfId="0" applyNumberFormat="1" applyFill="1" applyAlignment="1">
      <alignment horizontal="center"/>
    </xf>
    <xf numFmtId="0" fontId="0" fillId="9" borderId="12" xfId="0" applyFill="1" applyBorder="1"/>
    <xf numFmtId="0" fontId="0" fillId="0" borderId="31" xfId="0" applyBorder="1"/>
    <xf numFmtId="0" fontId="0" fillId="10" borderId="32" xfId="0" applyFill="1" applyBorder="1"/>
    <xf numFmtId="0" fontId="0" fillId="16" borderId="8" xfId="0" applyFill="1" applyBorder="1"/>
    <xf numFmtId="0" fontId="0" fillId="9" borderId="6" xfId="0" applyFill="1" applyBorder="1"/>
    <xf numFmtId="0" fontId="0" fillId="9" borderId="8" xfId="0" applyFill="1" applyBorder="1"/>
    <xf numFmtId="0" fontId="0" fillId="9" borderId="10" xfId="0" applyFill="1" applyBorder="1"/>
    <xf numFmtId="0" fontId="4" fillId="0" borderId="28" xfId="0" applyFont="1" applyBorder="1" applyAlignment="1">
      <alignment wrapText="1"/>
    </xf>
    <xf numFmtId="0" fontId="24" fillId="17" borderId="0" xfId="7" applyAlignment="1">
      <alignment horizontal="center"/>
    </xf>
    <xf numFmtId="0" fontId="4" fillId="0" borderId="17" xfId="0" applyFont="1" applyBorder="1" applyAlignment="1">
      <alignment horizontal="center" vertical="center"/>
    </xf>
    <xf numFmtId="0" fontId="0" fillId="4" borderId="27" xfId="0" applyFill="1" applyBorder="1" applyAlignment="1">
      <alignment horizontal="center" vertical="center"/>
    </xf>
    <xf numFmtId="0" fontId="0" fillId="5" borderId="27" xfId="0" applyFill="1" applyBorder="1" applyAlignment="1">
      <alignment horizontal="center" vertical="center"/>
    </xf>
    <xf numFmtId="0" fontId="0" fillId="13" borderId="27" xfId="0" applyFill="1" applyBorder="1" applyAlignment="1">
      <alignment horizontal="center" vertical="center"/>
    </xf>
    <xf numFmtId="0" fontId="0" fillId="19" borderId="28" xfId="0" applyFill="1" applyBorder="1" applyAlignment="1">
      <alignment horizontal="center" vertical="center"/>
    </xf>
    <xf numFmtId="165" fontId="0" fillId="18" borderId="0" xfId="8" applyNumberFormat="1" applyFont="1" applyAlignment="1">
      <alignment horizontal="center" vertical="center"/>
    </xf>
    <xf numFmtId="165" fontId="15" fillId="18" borderId="0" xfId="8" applyNumberFormat="1" applyAlignment="1">
      <alignment horizontal="center" vertical="center"/>
    </xf>
    <xf numFmtId="0" fontId="0" fillId="20" borderId="0" xfId="0" applyFill="1"/>
    <xf numFmtId="0" fontId="0" fillId="21" borderId="45" xfId="9" applyFont="1" applyAlignment="1">
      <alignment horizontal="center"/>
    </xf>
    <xf numFmtId="0" fontId="0" fillId="0" borderId="0" xfId="0" applyAlignment="1">
      <alignment vertical="center" textRotation="180"/>
    </xf>
    <xf numFmtId="165" fontId="24" fillId="4" borderId="0" xfId="7" applyNumberFormat="1" applyFill="1" applyAlignment="1">
      <alignment horizontal="center" vertical="center"/>
    </xf>
    <xf numFmtId="2" fontId="0" fillId="0" borderId="0" xfId="0" applyNumberFormat="1"/>
    <xf numFmtId="16" fontId="0" fillId="0" borderId="0" xfId="0" applyNumberFormat="1"/>
    <xf numFmtId="2" fontId="24" fillId="17" borderId="0" xfId="7" applyNumberFormat="1" applyAlignment="1">
      <alignment horizontal="center"/>
    </xf>
    <xf numFmtId="0" fontId="0" fillId="23" borderId="0" xfId="0" applyFill="1"/>
    <xf numFmtId="0" fontId="24" fillId="23" borderId="0" xfId="7" applyFill="1" applyAlignment="1">
      <alignment horizontal="center"/>
    </xf>
    <xf numFmtId="165" fontId="24" fillId="23" borderId="0" xfId="7" applyNumberFormat="1" applyFill="1" applyAlignment="1">
      <alignment horizontal="center" vertical="center"/>
    </xf>
    <xf numFmtId="2" fontId="24" fillId="23" borderId="0" xfId="7" applyNumberFormat="1" applyFill="1" applyAlignment="1">
      <alignment horizontal="center"/>
    </xf>
    <xf numFmtId="0" fontId="0" fillId="24" borderId="0" xfId="0" applyFill="1"/>
    <xf numFmtId="165" fontId="24" fillId="24" borderId="0" xfId="7" applyNumberFormat="1" applyFill="1" applyAlignment="1">
      <alignment horizontal="center" vertical="center"/>
    </xf>
    <xf numFmtId="165" fontId="2" fillId="17" borderId="0" xfId="7" applyNumberFormat="1" applyFont="1" applyAlignment="1">
      <alignment horizontal="center"/>
    </xf>
    <xf numFmtId="1" fontId="24" fillId="17" borderId="0" xfId="7" applyNumberFormat="1" applyAlignment="1">
      <alignment horizontal="center"/>
    </xf>
    <xf numFmtId="165" fontId="24" fillId="17" borderId="0" xfId="7" applyNumberFormat="1" applyAlignment="1">
      <alignment horizontal="center"/>
    </xf>
    <xf numFmtId="165" fontId="24" fillId="22" borderId="0" xfId="7" applyNumberFormat="1" applyFill="1" applyAlignment="1">
      <alignment horizontal="center" vertical="center"/>
    </xf>
    <xf numFmtId="165" fontId="24" fillId="5" borderId="0" xfId="7" applyNumberFormat="1" applyFill="1" applyAlignment="1">
      <alignment horizontal="center" vertical="center"/>
    </xf>
    <xf numFmtId="1" fontId="0" fillId="21" borderId="0" xfId="9" applyNumberFormat="1" applyFont="1" applyBorder="1" applyAlignment="1">
      <alignment horizontal="center"/>
    </xf>
    <xf numFmtId="165" fontId="0" fillId="23" borderId="0" xfId="0" applyNumberFormat="1" applyFill="1" applyAlignment="1">
      <alignment horizontal="center"/>
    </xf>
    <xf numFmtId="0" fontId="0" fillId="23" borderId="0" xfId="0" applyFill="1" applyAlignment="1">
      <alignment horizontal="center"/>
    </xf>
    <xf numFmtId="0" fontId="0" fillId="22" borderId="0" xfId="0" applyFill="1" applyAlignment="1">
      <alignment horizontal="center"/>
    </xf>
    <xf numFmtId="2" fontId="24" fillId="24" borderId="0" xfId="7" applyNumberFormat="1" applyFill="1" applyAlignment="1">
      <alignment horizontal="center"/>
    </xf>
    <xf numFmtId="1" fontId="0" fillId="13" borderId="8" xfId="0" applyNumberFormat="1" applyFill="1" applyBorder="1"/>
    <xf numFmtId="0" fontId="0" fillId="0" borderId="5" xfId="0" applyBorder="1" applyAlignment="1">
      <alignment horizontal="right"/>
    </xf>
    <xf numFmtId="0" fontId="8" fillId="0" borderId="5" xfId="0" applyFont="1" applyBorder="1" applyAlignment="1">
      <alignment horizontal="right"/>
    </xf>
    <xf numFmtId="0" fontId="8" fillId="0" borderId="7" xfId="0" applyFont="1" applyBorder="1" applyAlignment="1">
      <alignment horizontal="right"/>
    </xf>
    <xf numFmtId="0" fontId="8" fillId="0" borderId="9" xfId="0" applyFont="1" applyBorder="1" applyAlignment="1">
      <alignment horizontal="right"/>
    </xf>
    <xf numFmtId="0" fontId="0" fillId="0" borderId="11" xfId="0" applyBorder="1" applyAlignment="1">
      <alignment horizontal="right"/>
    </xf>
    <xf numFmtId="0" fontId="5" fillId="0" borderId="4" xfId="0" applyFont="1" applyBorder="1" applyAlignment="1">
      <alignment horizontal="right"/>
    </xf>
    <xf numFmtId="0" fontId="0" fillId="4" borderId="33" xfId="0" applyFill="1" applyBorder="1" applyAlignment="1">
      <alignment horizontal="center"/>
    </xf>
    <xf numFmtId="0" fontId="0" fillId="0" borderId="4" xfId="0" applyBorder="1" applyAlignment="1">
      <alignment horizontal="right" wrapText="1"/>
    </xf>
    <xf numFmtId="0" fontId="0" fillId="4" borderId="52" xfId="0" applyFill="1" applyBorder="1"/>
    <xf numFmtId="0" fontId="0" fillId="4" borderId="50" xfId="0" applyFill="1" applyBorder="1"/>
    <xf numFmtId="0" fontId="27" fillId="4" borderId="50" xfId="0" applyFont="1" applyFill="1" applyBorder="1"/>
    <xf numFmtId="0" fontId="0" fillId="4" borderId="53" xfId="0" applyFill="1" applyBorder="1"/>
    <xf numFmtId="0" fontId="8" fillId="0" borderId="54" xfId="0" applyFont="1" applyBorder="1" applyAlignment="1">
      <alignment horizontal="right"/>
    </xf>
    <xf numFmtId="0" fontId="8" fillId="0" borderId="55" xfId="0" applyFont="1" applyBorder="1" applyAlignment="1">
      <alignment horizontal="right"/>
    </xf>
    <xf numFmtId="0" fontId="0" fillId="13" borderId="50" xfId="0" applyFill="1" applyBorder="1"/>
    <xf numFmtId="0" fontId="0" fillId="0" borderId="54" xfId="0" applyBorder="1" applyAlignment="1">
      <alignment horizontal="right"/>
    </xf>
    <xf numFmtId="11" fontId="0" fillId="5" borderId="50" xfId="0" applyNumberFormat="1" applyFill="1" applyBorder="1"/>
    <xf numFmtId="11" fontId="0" fillId="5" borderId="53" xfId="0" applyNumberFormat="1" applyFill="1" applyBorder="1"/>
    <xf numFmtId="0" fontId="1" fillId="2" borderId="25" xfId="1" applyBorder="1" applyAlignment="1">
      <alignment horizontal="center"/>
    </xf>
    <xf numFmtId="0" fontId="20" fillId="15" borderId="43" xfId="5" applyBorder="1" applyAlignment="1">
      <alignment horizontal="center"/>
    </xf>
    <xf numFmtId="164" fontId="20" fillId="15" borderId="43" xfId="5" applyNumberFormat="1" applyBorder="1" applyAlignment="1">
      <alignment horizontal="center"/>
    </xf>
    <xf numFmtId="0" fontId="20" fillId="15" borderId="56" xfId="5" applyBorder="1" applyAlignment="1">
      <alignment horizontal="center"/>
    </xf>
    <xf numFmtId="164" fontId="20" fillId="15" borderId="56" xfId="5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20" fillId="15" borderId="57" xfId="5" applyBorder="1" applyAlignment="1">
      <alignment horizontal="center"/>
    </xf>
    <xf numFmtId="0" fontId="0" fillId="6" borderId="8" xfId="0" applyFill="1" applyBorder="1" applyAlignment="1">
      <alignment horizontal="center"/>
    </xf>
    <xf numFmtId="0" fontId="0" fillId="4" borderId="8" xfId="0" applyFill="1" applyBorder="1" applyAlignment="1">
      <alignment horizontal="center"/>
    </xf>
    <xf numFmtId="0" fontId="0" fillId="5" borderId="8" xfId="0" applyFill="1" applyBorder="1" applyAlignment="1">
      <alignment horizontal="center"/>
    </xf>
    <xf numFmtId="164" fontId="20" fillId="15" borderId="57" xfId="5" applyNumberFormat="1" applyBorder="1" applyAlignment="1">
      <alignment horizontal="center"/>
    </xf>
    <xf numFmtId="164" fontId="0" fillId="5" borderId="8" xfId="0" applyNumberFormat="1" applyFill="1" applyBorder="1" applyAlignment="1">
      <alignment horizontal="center"/>
    </xf>
    <xf numFmtId="2" fontId="0" fillId="5" borderId="8" xfId="0" applyNumberFormat="1" applyFill="1" applyBorder="1" applyAlignment="1">
      <alignment horizontal="center"/>
    </xf>
    <xf numFmtId="165" fontId="0" fillId="6" borderId="8" xfId="0" applyNumberFormat="1" applyFill="1" applyBorder="1" applyAlignment="1">
      <alignment horizontal="center"/>
    </xf>
    <xf numFmtId="0" fontId="0" fillId="5" borderId="8" xfId="0" applyFill="1" applyBorder="1"/>
    <xf numFmtId="2" fontId="0" fillId="5" borderId="8" xfId="0" applyNumberFormat="1" applyFill="1" applyBorder="1"/>
    <xf numFmtId="0" fontId="28" fillId="10" borderId="0" xfId="3" applyFont="1" applyFill="1"/>
    <xf numFmtId="0" fontId="4" fillId="0" borderId="5" xfId="0" applyFont="1" applyBorder="1"/>
    <xf numFmtId="0" fontId="4" fillId="0" borderId="31" xfId="0" applyFont="1" applyBorder="1"/>
    <xf numFmtId="0" fontId="4" fillId="0" borderId="6" xfId="0" applyFont="1" applyBorder="1"/>
    <xf numFmtId="0" fontId="4" fillId="0" borderId="7" xfId="0" applyFont="1" applyBorder="1"/>
    <xf numFmtId="166" fontId="0" fillId="0" borderId="0" xfId="0" applyNumberFormat="1"/>
    <xf numFmtId="166" fontId="0" fillId="0" borderId="8" xfId="0" applyNumberFormat="1" applyBorder="1"/>
    <xf numFmtId="11" fontId="0" fillId="0" borderId="8" xfId="0" applyNumberFormat="1" applyBorder="1"/>
    <xf numFmtId="11" fontId="0" fillId="10" borderId="0" xfId="0" applyNumberFormat="1" applyFill="1"/>
    <xf numFmtId="11" fontId="2" fillId="0" borderId="0" xfId="0" applyNumberFormat="1" applyFont="1"/>
    <xf numFmtId="11" fontId="2" fillId="0" borderId="8" xfId="0" applyNumberFormat="1" applyFont="1" applyBorder="1"/>
    <xf numFmtId="2" fontId="2" fillId="0" borderId="0" xfId="0" applyNumberFormat="1" applyFont="1"/>
    <xf numFmtId="2" fontId="2" fillId="0" borderId="8" xfId="0" applyNumberFormat="1" applyFont="1" applyBorder="1"/>
    <xf numFmtId="0" fontId="4" fillId="0" borderId="9" xfId="0" applyFont="1" applyBorder="1"/>
    <xf numFmtId="2" fontId="2" fillId="0" borderId="32" xfId="0" applyNumberFormat="1" applyFont="1" applyBorder="1"/>
    <xf numFmtId="2" fontId="2" fillId="0" borderId="10" xfId="0" applyNumberFormat="1" applyFont="1" applyBorder="1"/>
    <xf numFmtId="1" fontId="0" fillId="13" borderId="46" xfId="0" applyNumberFormat="1" applyFill="1" applyBorder="1"/>
    <xf numFmtId="1" fontId="0" fillId="13" borderId="40" xfId="0" applyNumberFormat="1" applyFill="1" applyBorder="1"/>
    <xf numFmtId="0" fontId="0" fillId="0" borderId="0" xfId="3" applyFont="1" applyFill="1"/>
    <xf numFmtId="164" fontId="0" fillId="0" borderId="0" xfId="3" applyNumberFormat="1" applyFont="1" applyFill="1"/>
    <xf numFmtId="164" fontId="0" fillId="0" borderId="0" xfId="0" applyNumberFormat="1"/>
    <xf numFmtId="165" fontId="24" fillId="26" borderId="0" xfId="7" applyNumberFormat="1" applyFill="1" applyAlignment="1">
      <alignment horizontal="center" vertical="center"/>
    </xf>
    <xf numFmtId="1" fontId="0" fillId="27" borderId="0" xfId="9" applyNumberFormat="1" applyFont="1" applyFill="1" applyBorder="1" applyAlignment="1">
      <alignment horizontal="center"/>
    </xf>
    <xf numFmtId="165" fontId="0" fillId="23" borderId="0" xfId="0" applyNumberFormat="1" applyFill="1"/>
    <xf numFmtId="2" fontId="0" fillId="0" borderId="11" xfId="0" applyNumberFormat="1" applyBorder="1" applyAlignment="1">
      <alignment horizontal="right"/>
    </xf>
    <xf numFmtId="2" fontId="4" fillId="5" borderId="33" xfId="0" applyNumberFormat="1" applyFont="1" applyFill="1" applyBorder="1"/>
    <xf numFmtId="2" fontId="4" fillId="5" borderId="34" xfId="0" applyNumberFormat="1" applyFont="1" applyFill="1" applyBorder="1"/>
    <xf numFmtId="2" fontId="0" fillId="4" borderId="33" xfId="0" applyNumberFormat="1" applyFill="1" applyBorder="1" applyAlignment="1">
      <alignment horizontal="center"/>
    </xf>
    <xf numFmtId="2" fontId="0" fillId="5" borderId="50" xfId="0" applyNumberFormat="1" applyFill="1" applyBorder="1"/>
    <xf numFmtId="2" fontId="4" fillId="5" borderId="33" xfId="0" applyNumberFormat="1" applyFont="1" applyFill="1" applyBorder="1" applyAlignment="1">
      <alignment horizontal="left"/>
    </xf>
    <xf numFmtId="2" fontId="4" fillId="5" borderId="34" xfId="0" applyNumberFormat="1" applyFont="1" applyFill="1" applyBorder="1" applyAlignment="1">
      <alignment horizontal="left"/>
    </xf>
    <xf numFmtId="2" fontId="0" fillId="0" borderId="5" xfId="0" applyNumberFormat="1" applyBorder="1" applyAlignment="1">
      <alignment horizontal="right"/>
    </xf>
    <xf numFmtId="2" fontId="4" fillId="5" borderId="37" xfId="0" applyNumberFormat="1" applyFont="1" applyFill="1" applyBorder="1" applyAlignment="1">
      <alignment horizontal="left"/>
    </xf>
    <xf numFmtId="2" fontId="4" fillId="5" borderId="38" xfId="0" applyNumberFormat="1" applyFont="1" applyFill="1" applyBorder="1" applyAlignment="1">
      <alignment horizontal="left"/>
    </xf>
    <xf numFmtId="2" fontId="0" fillId="0" borderId="4" xfId="0" applyNumberFormat="1" applyBorder="1" applyAlignment="1">
      <alignment horizontal="right"/>
    </xf>
    <xf numFmtId="2" fontId="26" fillId="0" borderId="4" xfId="0" applyNumberFormat="1" applyFont="1" applyBorder="1" applyAlignment="1">
      <alignment horizontal="center" vertical="center"/>
    </xf>
    <xf numFmtId="2" fontId="4" fillId="5" borderId="4" xfId="0" applyNumberFormat="1" applyFont="1" applyFill="1" applyBorder="1"/>
    <xf numFmtId="165" fontId="0" fillId="13" borderId="0" xfId="0" applyNumberFormat="1" applyFill="1" applyAlignment="1">
      <alignment horizontal="center"/>
    </xf>
    <xf numFmtId="167" fontId="0" fillId="5" borderId="4" xfId="0" applyNumberFormat="1" applyFill="1" applyBorder="1"/>
    <xf numFmtId="2" fontId="0" fillId="6" borderId="0" xfId="0" applyNumberFormat="1" applyFill="1"/>
    <xf numFmtId="2" fontId="0" fillId="6" borderId="8" xfId="0" applyNumberFormat="1" applyFill="1" applyBorder="1"/>
    <xf numFmtId="0" fontId="0" fillId="4" borderId="58" xfId="0" applyFill="1" applyBorder="1"/>
    <xf numFmtId="0" fontId="0" fillId="4" borderId="59" xfId="0" applyFill="1" applyBorder="1"/>
    <xf numFmtId="2" fontId="0" fillId="13" borderId="58" xfId="0" applyNumberFormat="1" applyFill="1" applyBorder="1"/>
    <xf numFmtId="2" fontId="0" fillId="13" borderId="60" xfId="0" applyNumberFormat="1" applyFill="1" applyBorder="1"/>
    <xf numFmtId="2" fontId="0" fillId="13" borderId="50" xfId="0" applyNumberFormat="1" applyFill="1" applyBorder="1"/>
    <xf numFmtId="2" fontId="0" fillId="13" borderId="59" xfId="0" applyNumberFormat="1" applyFill="1" applyBorder="1"/>
    <xf numFmtId="0" fontId="2" fillId="9" borderId="8" xfId="0" applyFont="1" applyFill="1" applyBorder="1"/>
    <xf numFmtId="2" fontId="14" fillId="0" borderId="0" xfId="0" applyNumberFormat="1" applyFont="1"/>
    <xf numFmtId="164" fontId="0" fillId="0" borderId="9" xfId="0" applyNumberFormat="1" applyBorder="1"/>
    <xf numFmtId="164" fontId="0" fillId="0" borderId="32" xfId="0" applyNumberFormat="1" applyBorder="1"/>
    <xf numFmtId="164" fontId="0" fillId="0" borderId="10" xfId="0" applyNumberFormat="1" applyBorder="1"/>
    <xf numFmtId="164" fontId="0" fillId="20" borderId="0" xfId="0" applyNumberFormat="1" applyFill="1"/>
    <xf numFmtId="0" fontId="0" fillId="0" borderId="6" xfId="0" applyBorder="1" applyAlignment="1">
      <alignment horizontal="center"/>
    </xf>
    <xf numFmtId="0" fontId="0" fillId="0" borderId="31" xfId="0" applyBorder="1" applyAlignment="1">
      <alignment horizontal="center"/>
    </xf>
    <xf numFmtId="0" fontId="0" fillId="28" borderId="9" xfId="0" applyFill="1" applyBorder="1" applyAlignment="1">
      <alignment horizontal="right"/>
    </xf>
    <xf numFmtId="0" fontId="0" fillId="28" borderId="53" xfId="0" applyFill="1" applyBorder="1"/>
    <xf numFmtId="2" fontId="0" fillId="29" borderId="0" xfId="0" applyNumberFormat="1" applyFill="1"/>
    <xf numFmtId="2" fontId="0" fillId="29" borderId="8" xfId="0" applyNumberFormat="1" applyFill="1" applyBorder="1"/>
    <xf numFmtId="2" fontId="0" fillId="30" borderId="0" xfId="0" applyNumberFormat="1" applyFill="1"/>
    <xf numFmtId="2" fontId="0" fillId="30" borderId="8" xfId="0" applyNumberFormat="1" applyFill="1" applyBorder="1"/>
    <xf numFmtId="2" fontId="1" fillId="2" borderId="1" xfId="1" applyNumberFormat="1" applyAlignment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5" borderId="0" xfId="10" applyFont="1" applyAlignment="1">
      <alignment horizontal="center"/>
    </xf>
    <xf numFmtId="0" fontId="0" fillId="0" borderId="11" xfId="0" applyBorder="1" applyAlignment="1">
      <alignment horizontal="center"/>
    </xf>
    <xf numFmtId="0" fontId="0" fillId="0" borderId="36" xfId="0" applyBorder="1" applyAlignment="1">
      <alignment horizontal="center"/>
    </xf>
    <xf numFmtId="0" fontId="0" fillId="0" borderId="12" xfId="0" applyBorder="1" applyAlignment="1">
      <alignment horizontal="center"/>
    </xf>
    <xf numFmtId="0" fontId="15" fillId="25" borderId="0" xfId="10" applyAlignment="1">
      <alignment horizontal="center"/>
    </xf>
    <xf numFmtId="0" fontId="1" fillId="2" borderId="13" xfId="1" quotePrefix="1" applyBorder="1" applyAlignment="1">
      <alignment horizontal="center"/>
    </xf>
    <xf numFmtId="0" fontId="1" fillId="2" borderId="0" xfId="1" applyBorder="1" applyAlignment="1">
      <alignment horizontal="center"/>
    </xf>
    <xf numFmtId="0" fontId="13" fillId="0" borderId="17" xfId="0" applyFont="1" applyBorder="1" applyAlignment="1">
      <alignment horizontal="center" vertical="center" textRotation="90" wrapText="1"/>
    </xf>
    <xf numFmtId="0" fontId="13" fillId="0" borderId="27" xfId="0" applyFont="1" applyBorder="1" applyAlignment="1">
      <alignment horizontal="center" vertical="center" textRotation="90" wrapText="1"/>
    </xf>
    <xf numFmtId="0" fontId="13" fillId="0" borderId="28" xfId="0" applyFont="1" applyBorder="1" applyAlignment="1">
      <alignment horizontal="center" vertical="center" textRotation="90" wrapText="1"/>
    </xf>
    <xf numFmtId="0" fontId="0" fillId="0" borderId="17" xfId="0" applyBorder="1" applyAlignment="1">
      <alignment horizontal="center" vertical="center" textRotation="180"/>
    </xf>
    <xf numFmtId="0" fontId="0" fillId="0" borderId="27" xfId="0" applyBorder="1" applyAlignment="1">
      <alignment horizontal="center" vertical="center" textRotation="180"/>
    </xf>
    <xf numFmtId="0" fontId="0" fillId="0" borderId="28" xfId="0" applyBorder="1" applyAlignment="1">
      <alignment horizontal="center" vertical="center" textRotation="180"/>
    </xf>
    <xf numFmtId="2" fontId="4" fillId="0" borderId="11" xfId="0" applyNumberFormat="1" applyFont="1" applyBorder="1" applyAlignment="1">
      <alignment horizontal="center"/>
    </xf>
    <xf numFmtId="2" fontId="4" fillId="0" borderId="36" xfId="0" applyNumberFormat="1" applyFont="1" applyBorder="1" applyAlignment="1">
      <alignment horizontal="center"/>
    </xf>
    <xf numFmtId="2" fontId="4" fillId="0" borderId="12" xfId="0" applyNumberFormat="1" applyFont="1" applyBorder="1" applyAlignment="1">
      <alignment horizontal="center"/>
    </xf>
    <xf numFmtId="0" fontId="0" fillId="0" borderId="51" xfId="0" applyBorder="1" applyAlignment="1">
      <alignment horizontal="center" vertical="center" textRotation="180"/>
    </xf>
    <xf numFmtId="0" fontId="0" fillId="0" borderId="47" xfId="0" applyBorder="1" applyAlignment="1">
      <alignment horizontal="center" vertical="center" textRotation="180"/>
    </xf>
    <xf numFmtId="0" fontId="0" fillId="0" borderId="49" xfId="0" applyBorder="1" applyAlignment="1">
      <alignment horizontal="center" vertical="center" textRotation="180"/>
    </xf>
    <xf numFmtId="0" fontId="23" fillId="0" borderId="35" xfId="0" applyFont="1" applyBorder="1" applyAlignment="1">
      <alignment horizontal="center" vertical="center" textRotation="180" wrapText="1"/>
    </xf>
    <xf numFmtId="0" fontId="23" fillId="0" borderId="47" xfId="0" applyFont="1" applyBorder="1" applyAlignment="1">
      <alignment horizontal="center" vertical="center" textRotation="180" wrapText="1"/>
    </xf>
    <xf numFmtId="0" fontId="23" fillId="0" borderId="48" xfId="0" applyFont="1" applyBorder="1" applyAlignment="1">
      <alignment horizontal="center" vertical="center" textRotation="180" wrapText="1"/>
    </xf>
    <xf numFmtId="0" fontId="0" fillId="0" borderId="17" xfId="0" applyBorder="1" applyAlignment="1">
      <alignment horizontal="center" vertical="center" textRotation="180" wrapText="1"/>
    </xf>
    <xf numFmtId="0" fontId="0" fillId="0" borderId="27" xfId="0" applyBorder="1" applyAlignment="1">
      <alignment horizontal="center" vertical="center" textRotation="180" wrapText="1"/>
    </xf>
    <xf numFmtId="0" fontId="0" fillId="0" borderId="28" xfId="0" applyBorder="1" applyAlignment="1">
      <alignment horizontal="center" vertical="center" textRotation="180" wrapText="1"/>
    </xf>
    <xf numFmtId="0" fontId="0" fillId="0" borderId="6" xfId="0" applyBorder="1" applyAlignment="1">
      <alignment horizontal="center"/>
    </xf>
    <xf numFmtId="0" fontId="0" fillId="0" borderId="17" xfId="0" applyBorder="1" applyAlignment="1">
      <alignment horizontal="center"/>
    </xf>
    <xf numFmtId="0" fontId="13" fillId="0" borderId="4" xfId="0" applyFont="1" applyBorder="1" applyAlignment="1">
      <alignment horizontal="center" vertical="center" textRotation="90" wrapText="1"/>
    </xf>
    <xf numFmtId="0" fontId="13" fillId="0" borderId="17" xfId="0" applyFont="1" applyBorder="1" applyAlignment="1">
      <alignment horizontal="center" vertical="center" textRotation="90"/>
    </xf>
    <xf numFmtId="0" fontId="13" fillId="0" borderId="27" xfId="0" applyFont="1" applyBorder="1" applyAlignment="1">
      <alignment horizontal="center" vertical="center" textRotation="90"/>
    </xf>
    <xf numFmtId="0" fontId="13" fillId="0" borderId="28" xfId="0" applyFont="1" applyBorder="1" applyAlignment="1">
      <alignment horizontal="center" vertical="center" textRotation="90"/>
    </xf>
    <xf numFmtId="0" fontId="19" fillId="0" borderId="4" xfId="0" applyFont="1" applyBorder="1" applyAlignment="1">
      <alignment horizontal="center"/>
    </xf>
    <xf numFmtId="0" fontId="19" fillId="0" borderId="17" xfId="0" applyFont="1" applyBorder="1" applyAlignment="1">
      <alignment horizontal="center"/>
    </xf>
    <xf numFmtId="0" fontId="4" fillId="0" borderId="4" xfId="0" applyFont="1" applyBorder="1" applyAlignment="1">
      <alignment horizontal="center" wrapText="1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left" wrapText="1"/>
    </xf>
    <xf numFmtId="0" fontId="8" fillId="0" borderId="0" xfId="0" applyFont="1"/>
    <xf numFmtId="0" fontId="0" fillId="9" borderId="0" xfId="0" applyFill="1" applyAlignment="1"/>
    <xf numFmtId="0" fontId="0" fillId="10" borderId="0" xfId="0" applyFill="1" applyAlignment="1"/>
  </cellXfs>
  <cellStyles count="11">
    <cellStyle name="20% - Accent1" xfId="3" builtinId="30"/>
    <cellStyle name="20% - Accent2" xfId="4" builtinId="34"/>
    <cellStyle name="40% - Accent1" xfId="8" builtinId="31"/>
    <cellStyle name="40% - Accent3" xfId="10" builtinId="39"/>
    <cellStyle name="Calculation" xfId="5" builtinId="22"/>
    <cellStyle name="Comma" xfId="6" builtinId="3"/>
    <cellStyle name="Good" xfId="7" builtinId="26"/>
    <cellStyle name="Input" xfId="1" builtinId="20"/>
    <cellStyle name="Normal" xfId="0" builtinId="0"/>
    <cellStyle name="Note" xfId="9" builtinId="10"/>
    <cellStyle name="Warning Text" xfId="2" builtinId="11"/>
  </cellStyles>
  <dxfs count="51"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bottom" textRotation="0" wrapText="1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2" formatCode="0.00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bottom" textRotation="0" wrapText="1" indent="0" justifyLastLine="0" shrinkToFit="0" readingOrder="0"/>
    </dxf>
    <dxf>
      <fill>
        <patternFill>
          <bgColor rgb="FF57FF87"/>
        </patternFill>
      </fill>
    </dxf>
    <dxf>
      <fill>
        <patternFill>
          <bgColor rgb="FFFF6565"/>
        </patternFill>
      </fill>
    </dxf>
  </dxfs>
  <tableStyles count="0" defaultTableStyle="TableStyleMedium2" defaultPivotStyle="PivotStyleMedium9"/>
  <colors>
    <mruColors>
      <color rgb="FFFF6565"/>
      <color rgb="FF57FF8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eetMetadata" Target="metadata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Fa/C0 vs e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0"/>
            <c:dispEq val="1"/>
            <c:trendlineLbl>
              <c:layout>
                <c:manualLayout>
                  <c:x val="-9.4650811295388118E-2"/>
                  <c:y val="0.11443175941935353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Ball_Roller_Brgs!$BC$14:$BC$25</c:f>
              <c:numCache>
                <c:formatCode>General</c:formatCode>
                <c:ptCount val="12"/>
                <c:pt idx="0">
                  <c:v>1.4E-2</c:v>
                </c:pt>
                <c:pt idx="1">
                  <c:v>2.1000000000000001E-2</c:v>
                </c:pt>
                <c:pt idx="2">
                  <c:v>2.8000000000000001E-2</c:v>
                </c:pt>
                <c:pt idx="3">
                  <c:v>4.2000000000000003E-2</c:v>
                </c:pt>
                <c:pt idx="4">
                  <c:v>5.6000000000000001E-2</c:v>
                </c:pt>
                <c:pt idx="5">
                  <c:v>7.0000000000000007E-2</c:v>
                </c:pt>
                <c:pt idx="6">
                  <c:v>8.4000000000000005E-2</c:v>
                </c:pt>
                <c:pt idx="7">
                  <c:v>0.11</c:v>
                </c:pt>
                <c:pt idx="8">
                  <c:v>0.17</c:v>
                </c:pt>
                <c:pt idx="9">
                  <c:v>0.28000000000000003</c:v>
                </c:pt>
                <c:pt idx="10">
                  <c:v>0.42</c:v>
                </c:pt>
                <c:pt idx="11">
                  <c:v>0.56000000000000005</c:v>
                </c:pt>
              </c:numCache>
            </c:numRef>
          </c:xVal>
          <c:yVal>
            <c:numRef>
              <c:f>Ball_Roller_Brgs!$BD$14:$BD$25</c:f>
              <c:numCache>
                <c:formatCode>General</c:formatCode>
                <c:ptCount val="12"/>
                <c:pt idx="0">
                  <c:v>0.19</c:v>
                </c:pt>
                <c:pt idx="1">
                  <c:v>0.21</c:v>
                </c:pt>
                <c:pt idx="2">
                  <c:v>0.22</c:v>
                </c:pt>
                <c:pt idx="3">
                  <c:v>0.24</c:v>
                </c:pt>
                <c:pt idx="4">
                  <c:v>0.26</c:v>
                </c:pt>
                <c:pt idx="5">
                  <c:v>0.27</c:v>
                </c:pt>
                <c:pt idx="6">
                  <c:v>0.28000000000000003</c:v>
                </c:pt>
                <c:pt idx="7">
                  <c:v>0.3</c:v>
                </c:pt>
                <c:pt idx="8">
                  <c:v>0.34</c:v>
                </c:pt>
                <c:pt idx="9">
                  <c:v>0.38</c:v>
                </c:pt>
                <c:pt idx="10">
                  <c:v>0.42</c:v>
                </c:pt>
                <c:pt idx="11">
                  <c:v>0.44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024-47D2-839A-46B3E5F2A5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00961536"/>
        <c:axId val="1081440688"/>
      </c:scatterChart>
      <c:valAx>
        <c:axId val="50096153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81440688"/>
        <c:crosses val="autoZero"/>
        <c:crossBetween val="midCat"/>
      </c:valAx>
      <c:valAx>
        <c:axId val="10814406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0096153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Fa/C0 vs Y2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0"/>
            <c:dispEq val="1"/>
            <c:trendlineLbl>
              <c:layout>
                <c:manualLayout>
                  <c:x val="-0.11307440915014827"/>
                  <c:y val="-0.1998090628268431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Ball_Roller_Brgs!$BC$14:$BC$25</c:f>
              <c:numCache>
                <c:formatCode>General</c:formatCode>
                <c:ptCount val="12"/>
                <c:pt idx="0">
                  <c:v>1.4E-2</c:v>
                </c:pt>
                <c:pt idx="1">
                  <c:v>2.1000000000000001E-2</c:v>
                </c:pt>
                <c:pt idx="2">
                  <c:v>2.8000000000000001E-2</c:v>
                </c:pt>
                <c:pt idx="3">
                  <c:v>4.2000000000000003E-2</c:v>
                </c:pt>
                <c:pt idx="4">
                  <c:v>5.6000000000000001E-2</c:v>
                </c:pt>
                <c:pt idx="5">
                  <c:v>7.0000000000000007E-2</c:v>
                </c:pt>
                <c:pt idx="6">
                  <c:v>8.4000000000000005E-2</c:v>
                </c:pt>
                <c:pt idx="7">
                  <c:v>0.11</c:v>
                </c:pt>
                <c:pt idx="8">
                  <c:v>0.17</c:v>
                </c:pt>
                <c:pt idx="9">
                  <c:v>0.28000000000000003</c:v>
                </c:pt>
                <c:pt idx="10">
                  <c:v>0.42</c:v>
                </c:pt>
                <c:pt idx="11">
                  <c:v>0.56000000000000005</c:v>
                </c:pt>
              </c:numCache>
            </c:numRef>
          </c:xVal>
          <c:yVal>
            <c:numRef>
              <c:f>Ball_Roller_Brgs!$BH$14:$BH$25</c:f>
              <c:numCache>
                <c:formatCode>General</c:formatCode>
                <c:ptCount val="12"/>
                <c:pt idx="0">
                  <c:v>2.2999999999999998</c:v>
                </c:pt>
                <c:pt idx="1">
                  <c:v>2.15</c:v>
                </c:pt>
                <c:pt idx="2">
                  <c:v>1.99</c:v>
                </c:pt>
                <c:pt idx="3">
                  <c:v>1.85</c:v>
                </c:pt>
                <c:pt idx="4">
                  <c:v>1.71</c:v>
                </c:pt>
                <c:pt idx="5">
                  <c:v>1.63</c:v>
                </c:pt>
                <c:pt idx="6">
                  <c:v>1.55</c:v>
                </c:pt>
                <c:pt idx="7">
                  <c:v>1.45</c:v>
                </c:pt>
                <c:pt idx="8">
                  <c:v>1.31</c:v>
                </c:pt>
                <c:pt idx="9">
                  <c:v>1.1499999999999999</c:v>
                </c:pt>
                <c:pt idx="10">
                  <c:v>1.04</c:v>
                </c:pt>
                <c:pt idx="11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EF3-4645-896E-C253FB4CDB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01053232"/>
        <c:axId val="1081438704"/>
      </c:scatterChart>
      <c:valAx>
        <c:axId val="5010532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81438704"/>
        <c:crosses val="autoZero"/>
        <c:crossBetween val="midCat"/>
      </c:valAx>
      <c:valAx>
        <c:axId val="10814387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0105323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trlProps/ctrlProp1.xml><?xml version="1.0" encoding="utf-8"?>
<formControlPr xmlns="http://schemas.microsoft.com/office/spreadsheetml/2009/9/main" objectType="Drop" dropStyle="combo" dx="26" fmlaLink="$AF$3" fmlaRange="MIsc_Tables!$V$4:$V$7" noThreeD="1" sel="2" val="0"/>
</file>

<file path=xl/ctrlProps/ctrlProp2.xml><?xml version="1.0" encoding="utf-8"?>
<formControlPr xmlns="http://schemas.microsoft.com/office/spreadsheetml/2009/9/main" objectType="Drop" dropStyle="combo" dx="26" fmlaLink="$AF$4" fmlaRange="MIsc_Tables!$V$11:$V$16" noThreeD="1" sel="1" val="0"/>
</file>

<file path=xl/ctrlProps/ctrlProp3.xml><?xml version="1.0" encoding="utf-8"?>
<formControlPr xmlns="http://schemas.microsoft.com/office/spreadsheetml/2009/9/main" objectType="Drop" dropStyle="combo" dx="26" fmlaLink="$AF$5" fmlaRange="MIsc_Tables!$V$19:$V$22" noThreeD="1" sel="1" val="0"/>
</file>

<file path=xl/ctrlProps/ctrlProp4.xml><?xml version="1.0" encoding="utf-8"?>
<formControlPr xmlns="http://schemas.microsoft.com/office/spreadsheetml/2009/9/main" objectType="Drop" dropStyle="combo" dx="26" fmlaLink="$AF$6" fmlaRange="$AH$3:$AH$45" noThreeD="1" sel="38" val="35"/>
</file>

<file path=xl/ctrlProps/ctrlProp5.xml><?xml version="1.0" encoding="utf-8"?>
<formControlPr xmlns="http://schemas.microsoft.com/office/spreadsheetml/2009/9/main" objectType="Drop" dropStyle="combo" dx="22" fmlaLink="$A$7" fmlaRange="$B$14:$B$260" noThreeD="1" sel="0" val="0"/>
</file>

<file path=xl/ctrlProps/ctrlProp6.xml><?xml version="1.0" encoding="utf-8"?>
<formControlPr xmlns="http://schemas.microsoft.com/office/spreadsheetml/2009/9/main" objectType="Drop" dropStyle="combo" dx="22" fmlaLink="$X$7" fmlaRange="$Y$14:$Y$152" noThreeD="1" sel="8" val="6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5" Type="http://schemas.openxmlformats.org/officeDocument/2006/relationships/image" Target="../media/image6.png"/><Relationship Id="rId4" Type="http://schemas.openxmlformats.org/officeDocument/2006/relationships/image" Target="../media/image5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0.png"/><Relationship Id="rId2" Type="http://schemas.openxmlformats.org/officeDocument/2006/relationships/customXml" Target="../ink/ink1.xml"/><Relationship Id="rId1" Type="http://schemas.openxmlformats.org/officeDocument/2006/relationships/image" Target="../media/image7.pn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15.png"/><Relationship Id="rId13" Type="http://schemas.openxmlformats.org/officeDocument/2006/relationships/image" Target="../media/image20.png"/><Relationship Id="rId3" Type="http://schemas.openxmlformats.org/officeDocument/2006/relationships/image" Target="../media/image10.png"/><Relationship Id="rId7" Type="http://schemas.openxmlformats.org/officeDocument/2006/relationships/image" Target="../media/image14.png"/><Relationship Id="rId12" Type="http://schemas.openxmlformats.org/officeDocument/2006/relationships/image" Target="../media/image19.png"/><Relationship Id="rId2" Type="http://schemas.openxmlformats.org/officeDocument/2006/relationships/image" Target="../media/image9.png"/><Relationship Id="rId1" Type="http://schemas.openxmlformats.org/officeDocument/2006/relationships/image" Target="../media/image8.png"/><Relationship Id="rId6" Type="http://schemas.openxmlformats.org/officeDocument/2006/relationships/image" Target="../media/image13.png"/><Relationship Id="rId11" Type="http://schemas.openxmlformats.org/officeDocument/2006/relationships/image" Target="../media/image18.png"/><Relationship Id="rId5" Type="http://schemas.openxmlformats.org/officeDocument/2006/relationships/image" Target="../media/image12.png"/><Relationship Id="rId10" Type="http://schemas.openxmlformats.org/officeDocument/2006/relationships/image" Target="../media/image17.png"/><Relationship Id="rId4" Type="http://schemas.openxmlformats.org/officeDocument/2006/relationships/image" Target="../media/image11.png"/><Relationship Id="rId9" Type="http://schemas.openxmlformats.org/officeDocument/2006/relationships/image" Target="../media/image16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1.png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image" Target="../media/image27.png"/><Relationship Id="rId3" Type="http://schemas.openxmlformats.org/officeDocument/2006/relationships/image" Target="../media/image23.png"/><Relationship Id="rId7" Type="http://schemas.openxmlformats.org/officeDocument/2006/relationships/image" Target="../media/image26.png"/><Relationship Id="rId2" Type="http://schemas.openxmlformats.org/officeDocument/2006/relationships/image" Target="../media/image5.png"/><Relationship Id="rId1" Type="http://schemas.openxmlformats.org/officeDocument/2006/relationships/image" Target="../media/image22.png"/><Relationship Id="rId6" Type="http://schemas.openxmlformats.org/officeDocument/2006/relationships/image" Target="../media/image25.png"/><Relationship Id="rId5" Type="http://schemas.openxmlformats.org/officeDocument/2006/relationships/image" Target="../media/image24.png"/><Relationship Id="rId10" Type="http://schemas.openxmlformats.org/officeDocument/2006/relationships/image" Target="../media/image29.png"/><Relationship Id="rId4" Type="http://schemas.openxmlformats.org/officeDocument/2006/relationships/image" Target="../media/image6.png"/><Relationship Id="rId9" Type="http://schemas.openxmlformats.org/officeDocument/2006/relationships/image" Target="../media/image28.png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image" Target="../media/image37.png"/><Relationship Id="rId3" Type="http://schemas.openxmlformats.org/officeDocument/2006/relationships/image" Target="../media/image32.png"/><Relationship Id="rId7" Type="http://schemas.openxmlformats.org/officeDocument/2006/relationships/image" Target="../media/image36.png"/><Relationship Id="rId2" Type="http://schemas.openxmlformats.org/officeDocument/2006/relationships/image" Target="../media/image31.png"/><Relationship Id="rId1" Type="http://schemas.openxmlformats.org/officeDocument/2006/relationships/image" Target="../media/image30.png"/><Relationship Id="rId6" Type="http://schemas.openxmlformats.org/officeDocument/2006/relationships/image" Target="../media/image35.png"/><Relationship Id="rId5" Type="http://schemas.openxmlformats.org/officeDocument/2006/relationships/image" Target="../media/image34.png"/><Relationship Id="rId4" Type="http://schemas.openxmlformats.org/officeDocument/2006/relationships/image" Target="../media/image33.pn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40.emf"/><Relationship Id="rId2" Type="http://schemas.openxmlformats.org/officeDocument/2006/relationships/image" Target="../media/image39.emf"/><Relationship Id="rId1" Type="http://schemas.openxmlformats.org/officeDocument/2006/relationships/image" Target="../media/image38.emf"/><Relationship Id="rId6" Type="http://schemas.openxmlformats.org/officeDocument/2006/relationships/chart" Target="../charts/chart2.xml"/><Relationship Id="rId5" Type="http://schemas.openxmlformats.org/officeDocument/2006/relationships/chart" Target="../charts/chart1.xml"/><Relationship Id="rId4" Type="http://schemas.openxmlformats.org/officeDocument/2006/relationships/image" Target="../media/image4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361950</xdr:colOff>
      <xdr:row>0</xdr:row>
      <xdr:rowOff>85725</xdr:rowOff>
    </xdr:from>
    <xdr:to>
      <xdr:col>21</xdr:col>
      <xdr:colOff>200025</xdr:colOff>
      <xdr:row>11</xdr:row>
      <xdr:rowOff>31750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77150" y="85725"/>
          <a:ext cx="5934075" cy="27527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1010770</xdr:colOff>
      <xdr:row>62</xdr:row>
      <xdr:rowOff>170330</xdr:rowOff>
    </xdr:from>
    <xdr:to>
      <xdr:col>10</xdr:col>
      <xdr:colOff>314054</xdr:colOff>
      <xdr:row>84</xdr:row>
      <xdr:rowOff>121168</xdr:rowOff>
    </xdr:to>
    <xdr:pic>
      <xdr:nvPicPr>
        <xdr:cNvPr id="15" name="Picture 1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10770" y="12147177"/>
          <a:ext cx="8108194" cy="3974199"/>
        </a:xfrm>
        <a:prstGeom prst="rect">
          <a:avLst/>
        </a:prstGeom>
      </xdr:spPr>
    </xdr:pic>
    <xdr:clientData/>
  </xdr:twoCellAnchor>
  <xdr:twoCellAnchor editAs="oneCell">
    <xdr:from>
      <xdr:col>12</xdr:col>
      <xdr:colOff>230841</xdr:colOff>
      <xdr:row>63</xdr:row>
      <xdr:rowOff>15686</xdr:rowOff>
    </xdr:from>
    <xdr:to>
      <xdr:col>21</xdr:col>
      <xdr:colOff>290776</xdr:colOff>
      <xdr:row>80</xdr:row>
      <xdr:rowOff>145226</xdr:rowOff>
    </xdr:to>
    <xdr:pic>
      <xdr:nvPicPr>
        <xdr:cNvPr id="16" name="Picture 7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109947" y="12171827"/>
          <a:ext cx="6925555" cy="3238500"/>
        </a:xfrm>
        <a:prstGeom prst="rect">
          <a:avLst/>
        </a:prstGeom>
      </xdr:spPr>
    </xdr:pic>
    <xdr:clientData/>
  </xdr:twoCellAnchor>
  <xdr:oneCellAnchor>
    <xdr:from>
      <xdr:col>24</xdr:col>
      <xdr:colOff>73025</xdr:colOff>
      <xdr:row>1</xdr:row>
      <xdr:rowOff>92075</xdr:rowOff>
    </xdr:from>
    <xdr:ext cx="2038455" cy="622963"/>
    <xdr:pic>
      <xdr:nvPicPr>
        <xdr:cNvPr id="5" name="Picture 1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521825" y="92075"/>
          <a:ext cx="2038455" cy="593753"/>
        </a:xfrm>
        <a:prstGeom prst="rect">
          <a:avLst/>
        </a:prstGeom>
      </xdr:spPr>
    </xdr:pic>
    <xdr:clientData/>
  </xdr:oneCellAnchor>
  <xdr:oneCellAnchor>
    <xdr:from>
      <xdr:col>20</xdr:col>
      <xdr:colOff>82550</xdr:colOff>
      <xdr:row>1</xdr:row>
      <xdr:rowOff>101600</xdr:rowOff>
    </xdr:from>
    <xdr:ext cx="2381355" cy="626773"/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004050" y="101600"/>
          <a:ext cx="2038455" cy="555653"/>
        </a:xfrm>
        <a:prstGeom prst="rect">
          <a:avLst/>
        </a:prstGeom>
      </xdr:spPr>
    </xdr:pic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7620</xdr:colOff>
          <xdr:row>19</xdr:row>
          <xdr:rowOff>30480</xdr:rowOff>
        </xdr:from>
        <xdr:to>
          <xdr:col>12</xdr:col>
          <xdr:colOff>1226820</xdr:colOff>
          <xdr:row>20</xdr:row>
          <xdr:rowOff>0</xdr:rowOff>
        </xdr:to>
        <xdr:sp macro="" textlink="">
          <xdr:nvSpPr>
            <xdr:cNvPr id="3073" name="Drop Down 1" hidden="1">
              <a:extLst>
                <a:ext uri="{63B3BB69-23CF-44E3-9099-C40C66FF867C}">
                  <a14:compatExt spid="_x0000_s3073"/>
                </a:ext>
                <a:ext uri="{FF2B5EF4-FFF2-40B4-BE49-F238E27FC236}">
                  <a16:creationId xmlns:a16="http://schemas.microsoft.com/office/drawing/2014/main" id="{00000000-0008-0000-0200-00000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23</xdr:row>
          <xdr:rowOff>30480</xdr:rowOff>
        </xdr:from>
        <xdr:to>
          <xdr:col>12</xdr:col>
          <xdr:colOff>1211580</xdr:colOff>
          <xdr:row>24</xdr:row>
          <xdr:rowOff>0</xdr:rowOff>
        </xdr:to>
        <xdr:sp macro="" textlink="">
          <xdr:nvSpPr>
            <xdr:cNvPr id="3074" name="Drop Down 2" hidden="1">
              <a:extLst>
                <a:ext uri="{63B3BB69-23CF-44E3-9099-C40C66FF867C}">
                  <a14:compatExt spid="_x0000_s3074"/>
                </a:ext>
                <a:ext uri="{FF2B5EF4-FFF2-40B4-BE49-F238E27FC236}">
                  <a16:creationId xmlns:a16="http://schemas.microsoft.com/office/drawing/2014/main" id="{00000000-0008-0000-0200-000002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19</xdr:col>
      <xdr:colOff>504825</xdr:colOff>
      <xdr:row>8</xdr:row>
      <xdr:rowOff>57150</xdr:rowOff>
    </xdr:from>
    <xdr:to>
      <xdr:col>24</xdr:col>
      <xdr:colOff>91592</xdr:colOff>
      <xdr:row>10</xdr:row>
      <xdr:rowOff>27413</xdr:rowOff>
    </xdr:to>
    <xdr:pic>
      <xdr:nvPicPr>
        <xdr:cNvPr id="6" name="Picture 3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886700" y="1685925"/>
          <a:ext cx="2939567" cy="371583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21</xdr:row>
          <xdr:rowOff>30480</xdr:rowOff>
        </xdr:from>
        <xdr:to>
          <xdr:col>12</xdr:col>
          <xdr:colOff>1242060</xdr:colOff>
          <xdr:row>22</xdr:row>
          <xdr:rowOff>0</xdr:rowOff>
        </xdr:to>
        <xdr:sp macro="" textlink="">
          <xdr:nvSpPr>
            <xdr:cNvPr id="3075" name="Drop Down 3" hidden="1">
              <a:extLst>
                <a:ext uri="{63B3BB69-23CF-44E3-9099-C40C66FF867C}">
                  <a14:compatExt spid="_x0000_s3075"/>
                </a:ext>
                <a:ext uri="{FF2B5EF4-FFF2-40B4-BE49-F238E27FC236}">
                  <a16:creationId xmlns:a16="http://schemas.microsoft.com/office/drawing/2014/main" id="{00000000-0008-0000-0200-000003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7</xdr:row>
          <xdr:rowOff>259080</xdr:rowOff>
        </xdr:from>
        <xdr:to>
          <xdr:col>3</xdr:col>
          <xdr:colOff>1905</xdr:colOff>
          <xdr:row>9</xdr:row>
          <xdr:rowOff>0</xdr:rowOff>
        </xdr:to>
        <xdr:sp macro="" textlink="">
          <xdr:nvSpPr>
            <xdr:cNvPr id="3079" name="Drop Down 7" hidden="1">
              <a:extLst>
                <a:ext uri="{63B3BB69-23CF-44E3-9099-C40C66FF867C}">
                  <a14:compatExt spid="_x0000_s3079"/>
                </a:ext>
                <a:ext uri="{FF2B5EF4-FFF2-40B4-BE49-F238E27FC236}">
                  <a16:creationId xmlns:a16="http://schemas.microsoft.com/office/drawing/2014/main" id="{00000000-0008-0000-0200-000007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12</xdr:col>
      <xdr:colOff>317501</xdr:colOff>
      <xdr:row>41</xdr:row>
      <xdr:rowOff>84044</xdr:rowOff>
    </xdr:from>
    <xdr:to>
      <xdr:col>18</xdr:col>
      <xdr:colOff>298503</xdr:colOff>
      <xdr:row>48</xdr:row>
      <xdr:rowOff>60026</xdr:rowOff>
    </xdr:to>
    <xdr:pic>
      <xdr:nvPicPr>
        <xdr:cNvPr id="7" name="Picture 1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0374780" y="8404412"/>
          <a:ext cx="4682542" cy="1317102"/>
        </a:xfrm>
        <a:prstGeom prst="rect">
          <a:avLst/>
        </a:prstGeom>
      </xdr:spPr>
    </xdr:pic>
    <xdr:clientData/>
  </xdr:twoCellAnchor>
  <xdr:twoCellAnchor editAs="oneCell">
    <xdr:from>
      <xdr:col>2</xdr:col>
      <xdr:colOff>481853</xdr:colOff>
      <xdr:row>55</xdr:row>
      <xdr:rowOff>145676</xdr:rowOff>
    </xdr:from>
    <xdr:to>
      <xdr:col>11</xdr:col>
      <xdr:colOff>452103</xdr:colOff>
      <xdr:row>75</xdr:row>
      <xdr:rowOff>56028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09265" y="10880911"/>
          <a:ext cx="7153220" cy="3496236"/>
        </a:xfrm>
        <a:prstGeom prst="rect">
          <a:avLst/>
        </a:prstGeom>
      </xdr:spPr>
    </xdr:pic>
    <xdr:clientData/>
  </xdr:twoCellAnchor>
  <xdr:twoCellAnchor editAs="oneCell">
    <xdr:from>
      <xdr:col>11</xdr:col>
      <xdr:colOff>661146</xdr:colOff>
      <xdr:row>55</xdr:row>
      <xdr:rowOff>123264</xdr:rowOff>
    </xdr:from>
    <xdr:to>
      <xdr:col>21</xdr:col>
      <xdr:colOff>262537</xdr:colOff>
      <xdr:row>73</xdr:row>
      <xdr:rowOff>134469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771528" y="10858499"/>
          <a:ext cx="6885215" cy="32385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57961</xdr:colOff>
      <xdr:row>9</xdr:row>
      <xdr:rowOff>64867</xdr:rowOff>
    </xdr:from>
    <xdr:to>
      <xdr:col>18</xdr:col>
      <xdr:colOff>153607</xdr:colOff>
      <xdr:row>46</xdr:row>
      <xdr:rowOff>169022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861837" y="1690991"/>
          <a:ext cx="6001146" cy="7118554"/>
        </a:xfrm>
        <a:prstGeom prst="rect">
          <a:avLst/>
        </a:prstGeom>
      </xdr:spPr>
    </xdr:pic>
    <xdr:clientData/>
  </xdr:twoCellAnchor>
  <xdr:twoCellAnchor editAs="oneCell">
    <xdr:from>
      <xdr:col>5</xdr:col>
      <xdr:colOff>794593</xdr:colOff>
      <xdr:row>19</xdr:row>
      <xdr:rowOff>149146</xdr:rowOff>
    </xdr:from>
    <xdr:to>
      <xdr:col>5</xdr:col>
      <xdr:colOff>819793</xdr:colOff>
      <xdr:row>19</xdr:row>
      <xdr:rowOff>167146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">
          <xdr14:nvContentPartPr>
            <xdr14:cNvPr id="2" name="Ink 1">
              <a:extLst>
                <a:ext uri="{FF2B5EF4-FFF2-40B4-BE49-F238E27FC236}">
                  <a16:creationId xmlns:a16="http://schemas.microsoft.com/office/drawing/2014/main" id="{00000000-0008-0000-0300-000002000000}"/>
                </a:ext>
              </a:extLst>
            </xdr14:cNvPr>
            <xdr14:cNvContentPartPr/>
          </xdr14:nvContentPartPr>
          <xdr14:nvPr macro=""/>
          <xdr14:xfrm>
            <a:off x="6515280" y="3606579"/>
            <a:ext cx="25200" cy="18000"/>
          </xdr14:xfrm>
        </xdr:contentPart>
      </mc:Choice>
      <mc:Fallback xmlns="">
        <xdr:pic>
          <xdr:nvPicPr>
            <xdr:cNvPr id="2" name="Ink 1">
              <a:extLst>
                <a:ext uri="{FF2B5EF4-FFF2-40B4-BE49-F238E27FC236}">
                  <a16:creationId xmlns:a16="http://schemas.microsoft.com/office/drawing/2014/main" id="{27E65432-5911-7A4F-F9FC-A699225A6369}"/>
                </a:ext>
              </a:extLst>
            </xdr:cNvPr>
            <xdr:cNvPicPr/>
          </xdr:nvPicPr>
          <xdr:blipFill>
            <a:blip xmlns:r="http://schemas.openxmlformats.org/officeDocument/2006/relationships" r:embed="rId3"/>
            <a:stretch>
              <a:fillRect/>
            </a:stretch>
          </xdr:blipFill>
          <xdr:spPr>
            <a:xfrm>
              <a:off x="6506640" y="3597939"/>
              <a:ext cx="42840" cy="35640"/>
            </a:xfrm>
            <a:prstGeom prst="rect">
              <a:avLst/>
            </a:prstGeom>
          </xdr:spPr>
        </xdr:pic>
      </mc:Fallback>
    </mc:AlternateContent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99060</xdr:colOff>
      <xdr:row>84</xdr:row>
      <xdr:rowOff>163830</xdr:rowOff>
    </xdr:from>
    <xdr:to>
      <xdr:col>23</xdr:col>
      <xdr:colOff>309003</xdr:colOff>
      <xdr:row>107</xdr:row>
      <xdr:rowOff>117203</xdr:rowOff>
    </xdr:to>
    <xdr:pic>
      <xdr:nvPicPr>
        <xdr:cNvPr id="2" name="Picture 16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980420" y="16043910"/>
          <a:ext cx="4530483" cy="4159613"/>
        </a:xfrm>
        <a:prstGeom prst="rect">
          <a:avLst/>
        </a:prstGeom>
      </xdr:spPr>
    </xdr:pic>
    <xdr:clientData/>
  </xdr:twoCellAnchor>
  <xdr:twoCellAnchor editAs="oneCell">
    <xdr:from>
      <xdr:col>10</xdr:col>
      <xdr:colOff>354330</xdr:colOff>
      <xdr:row>56</xdr:row>
      <xdr:rowOff>80010</xdr:rowOff>
    </xdr:from>
    <xdr:to>
      <xdr:col>15</xdr:col>
      <xdr:colOff>257175</xdr:colOff>
      <xdr:row>81</xdr:row>
      <xdr:rowOff>80010</xdr:rowOff>
    </xdr:to>
    <xdr:pic>
      <xdr:nvPicPr>
        <xdr:cNvPr id="11" name="Picture 1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755130" y="10839450"/>
          <a:ext cx="2950845" cy="4572000"/>
        </a:xfrm>
        <a:prstGeom prst="rect">
          <a:avLst/>
        </a:prstGeom>
      </xdr:spPr>
    </xdr:pic>
    <xdr:clientData/>
  </xdr:twoCellAnchor>
  <xdr:twoCellAnchor editAs="oneCell">
    <xdr:from>
      <xdr:col>16</xdr:col>
      <xdr:colOff>129540</xdr:colOff>
      <xdr:row>57</xdr:row>
      <xdr:rowOff>81915</xdr:rowOff>
    </xdr:from>
    <xdr:to>
      <xdr:col>20</xdr:col>
      <xdr:colOff>428625</xdr:colOff>
      <xdr:row>82</xdr:row>
      <xdr:rowOff>72390</xdr:rowOff>
    </xdr:to>
    <xdr:pic>
      <xdr:nvPicPr>
        <xdr:cNvPr id="4" name="Picture 2">
          <a:extLst>
            <a:ext uri="{FF2B5EF4-FFF2-40B4-BE49-F238E27FC236}">
              <a16:creationId xmlns:a16="http://schemas.microsoft.com/office/drawing/2014/main" id="{00000000-0008-0000-0400-000004000000}"/>
            </a:ext>
            <a:ext uri="{147F2762-F138-4A5C-976F-8EAC2B608ADB}">
              <a16:predDERef xmlns:a16="http://schemas.microsoft.com/office/drawing/2014/main" pred="{EBE271F5-5C36-96E4-6238-B53C8A9C41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0370820" y="11024235"/>
          <a:ext cx="3400425" cy="4562475"/>
        </a:xfrm>
        <a:prstGeom prst="rect">
          <a:avLst/>
        </a:prstGeom>
      </xdr:spPr>
    </xdr:pic>
    <xdr:clientData/>
  </xdr:twoCellAnchor>
  <xdr:twoCellAnchor editAs="oneCell">
    <xdr:from>
      <xdr:col>28</xdr:col>
      <xdr:colOff>312420</xdr:colOff>
      <xdr:row>12</xdr:row>
      <xdr:rowOff>22860</xdr:rowOff>
    </xdr:from>
    <xdr:to>
      <xdr:col>35</xdr:col>
      <xdr:colOff>507117</xdr:colOff>
      <xdr:row>22</xdr:row>
      <xdr:rowOff>64955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9472910" y="2430780"/>
          <a:ext cx="4461897" cy="2137595"/>
        </a:xfrm>
        <a:prstGeom prst="rect">
          <a:avLst/>
        </a:prstGeom>
      </xdr:spPr>
    </xdr:pic>
    <xdr:clientData/>
  </xdr:twoCellAnchor>
  <xdr:twoCellAnchor editAs="oneCell">
    <xdr:from>
      <xdr:col>29</xdr:col>
      <xdr:colOff>0</xdr:colOff>
      <xdr:row>26</xdr:row>
      <xdr:rowOff>0</xdr:rowOff>
    </xdr:from>
    <xdr:to>
      <xdr:col>35</xdr:col>
      <xdr:colOff>545194</xdr:colOff>
      <xdr:row>32</xdr:row>
      <xdr:rowOff>148699</xdr:rowOff>
    </xdr:to>
    <xdr:pic>
      <xdr:nvPicPr>
        <xdr:cNvPr id="8" name="Picture 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9724557" y="5240311"/>
          <a:ext cx="4202794" cy="1253599"/>
        </a:xfrm>
        <a:prstGeom prst="rect">
          <a:avLst/>
        </a:prstGeom>
      </xdr:spPr>
    </xdr:pic>
    <xdr:clientData/>
  </xdr:twoCellAnchor>
  <xdr:twoCellAnchor editAs="oneCell">
    <xdr:from>
      <xdr:col>29</xdr:col>
      <xdr:colOff>577060</xdr:colOff>
      <xdr:row>62</xdr:row>
      <xdr:rowOff>121442</xdr:rowOff>
    </xdr:from>
    <xdr:to>
      <xdr:col>40</xdr:col>
      <xdr:colOff>21333</xdr:colOff>
      <xdr:row>76</xdr:row>
      <xdr:rowOff>140716</xdr:rowOff>
    </xdr:to>
    <xdr:pic>
      <xdr:nvPicPr>
        <xdr:cNvPr id="12" name="Picture 2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5400000">
          <a:off x="22923500" y="10293352"/>
          <a:ext cx="2579594" cy="6149873"/>
        </a:xfrm>
        <a:prstGeom prst="rect">
          <a:avLst/>
        </a:prstGeom>
      </xdr:spPr>
    </xdr:pic>
    <xdr:clientData/>
  </xdr:twoCellAnchor>
  <xdr:twoCellAnchor editAs="oneCell">
    <xdr:from>
      <xdr:col>0</xdr:col>
      <xdr:colOff>552450</xdr:colOff>
      <xdr:row>112</xdr:row>
      <xdr:rowOff>76200</xdr:rowOff>
    </xdr:from>
    <xdr:to>
      <xdr:col>9</xdr:col>
      <xdr:colOff>174433</xdr:colOff>
      <xdr:row>143</xdr:row>
      <xdr:rowOff>50022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552450" y="21076920"/>
          <a:ext cx="5108383" cy="5643102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59</xdr:row>
      <xdr:rowOff>0</xdr:rowOff>
    </xdr:from>
    <xdr:to>
      <xdr:col>9</xdr:col>
      <xdr:colOff>240473</xdr:colOff>
      <xdr:row>73</xdr:row>
      <xdr:rowOff>164066</xdr:rowOff>
    </xdr:to>
    <xdr:pic>
      <xdr:nvPicPr>
        <xdr:cNvPr id="14" name="Picture 9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641350" y="11404600"/>
          <a:ext cx="5117273" cy="2724386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74</xdr:row>
      <xdr:rowOff>0</xdr:rowOff>
    </xdr:from>
    <xdr:to>
      <xdr:col>7</xdr:col>
      <xdr:colOff>568056</xdr:colOff>
      <xdr:row>84</xdr:row>
      <xdr:rowOff>133520</xdr:rowOff>
    </xdr:to>
    <xdr:pic>
      <xdr:nvPicPr>
        <xdr:cNvPr id="15" name="Picture 10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641350" y="14166850"/>
          <a:ext cx="4225656" cy="1962320"/>
        </a:xfrm>
        <a:prstGeom prst="rect">
          <a:avLst/>
        </a:prstGeom>
      </xdr:spPr>
    </xdr:pic>
    <xdr:clientData/>
  </xdr:twoCellAnchor>
  <xdr:twoCellAnchor editAs="oneCell">
    <xdr:from>
      <xdr:col>9</xdr:col>
      <xdr:colOff>7620</xdr:colOff>
      <xdr:row>75</xdr:row>
      <xdr:rowOff>144780</xdr:rowOff>
    </xdr:from>
    <xdr:to>
      <xdr:col>15</xdr:col>
      <xdr:colOff>442315</xdr:colOff>
      <xdr:row>86</xdr:row>
      <xdr:rowOff>44617</xdr:rowOff>
    </xdr:to>
    <xdr:pic>
      <xdr:nvPicPr>
        <xdr:cNvPr id="10" name="Picture 15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5768340" y="14378940"/>
          <a:ext cx="4092295" cy="1911517"/>
        </a:xfrm>
        <a:prstGeom prst="rect">
          <a:avLst/>
        </a:prstGeom>
      </xdr:spPr>
    </xdr:pic>
    <xdr:clientData/>
  </xdr:twoCellAnchor>
  <xdr:twoCellAnchor editAs="oneCell">
    <xdr:from>
      <xdr:col>9</xdr:col>
      <xdr:colOff>12700</xdr:colOff>
      <xdr:row>86</xdr:row>
      <xdr:rowOff>69850</xdr:rowOff>
    </xdr:from>
    <xdr:to>
      <xdr:col>17</xdr:col>
      <xdr:colOff>211260</xdr:colOff>
      <xdr:row>106</xdr:row>
      <xdr:rowOff>32064</xdr:rowOff>
    </xdr:to>
    <xdr:pic>
      <xdr:nvPicPr>
        <xdr:cNvPr id="19" name="Picture 13">
          <a:extLst>
            <a:ext uri="{FF2B5EF4-FFF2-40B4-BE49-F238E27FC236}">
              <a16:creationId xmlns:a16="http://schemas.microsoft.com/office/drawing/2014/main" id="{00000000-0008-0000-04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5784850" y="16446500"/>
          <a:ext cx="5075360" cy="3619814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107</xdr:row>
      <xdr:rowOff>0</xdr:rowOff>
    </xdr:from>
    <xdr:to>
      <xdr:col>17</xdr:col>
      <xdr:colOff>72819</xdr:colOff>
      <xdr:row>118</xdr:row>
      <xdr:rowOff>34467</xdr:rowOff>
    </xdr:to>
    <xdr:pic>
      <xdr:nvPicPr>
        <xdr:cNvPr id="20" name="Picture 14">
          <a:extLst>
            <a:ext uri="{FF2B5EF4-FFF2-40B4-BE49-F238E27FC236}">
              <a16:creationId xmlns:a16="http://schemas.microsoft.com/office/drawing/2014/main" id="{00000000-0008-0000-04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5772150" y="20243800"/>
          <a:ext cx="4949619" cy="2046147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74</xdr:row>
      <xdr:rowOff>0</xdr:rowOff>
    </xdr:from>
    <xdr:to>
      <xdr:col>15</xdr:col>
      <xdr:colOff>442315</xdr:colOff>
      <xdr:row>84</xdr:row>
      <xdr:rowOff>95417</xdr:rowOff>
    </xdr:to>
    <xdr:pic>
      <xdr:nvPicPr>
        <xdr:cNvPr id="21" name="Picture 15">
          <a:extLs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5772150" y="14166850"/>
          <a:ext cx="4099915" cy="1924217"/>
        </a:xfrm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74</xdr:row>
      <xdr:rowOff>0</xdr:rowOff>
    </xdr:from>
    <xdr:to>
      <xdr:col>24</xdr:col>
      <xdr:colOff>263283</xdr:colOff>
      <xdr:row>96</xdr:row>
      <xdr:rowOff>164193</xdr:rowOff>
    </xdr:to>
    <xdr:pic>
      <xdr:nvPicPr>
        <xdr:cNvPr id="22" name="Picture 16">
          <a:extLst>
            <a:ext uri="{FF2B5EF4-FFF2-40B4-BE49-F238E27FC236}">
              <a16:creationId xmlns:a16="http://schemas.microsoft.com/office/drawing/2014/main" id="{00000000-0008-0000-04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85650" y="14166850"/>
          <a:ext cx="4530483" cy="4187553"/>
        </a:xfrm>
        <a:prstGeom prst="rect">
          <a:avLst/>
        </a:prstGeom>
      </xdr:spPr>
    </xdr:pic>
    <xdr:clientData/>
  </xdr:twoCellAnchor>
  <xdr:twoCellAnchor editAs="oneCell">
    <xdr:from>
      <xdr:col>28</xdr:col>
      <xdr:colOff>441960</xdr:colOff>
      <xdr:row>33</xdr:row>
      <xdr:rowOff>96520</xdr:rowOff>
    </xdr:from>
    <xdr:to>
      <xdr:col>38</xdr:col>
      <xdr:colOff>206248</xdr:colOff>
      <xdr:row>55</xdr:row>
      <xdr:rowOff>96869</xdr:rowOff>
    </xdr:to>
    <xdr:pic>
      <xdr:nvPicPr>
        <xdr:cNvPr id="9" name="Picture 2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20411440" y="6649720"/>
          <a:ext cx="5860288" cy="4023709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1</xdr:colOff>
      <xdr:row>64</xdr:row>
      <xdr:rowOff>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SpPr/>
      </xdr:nvSpPr>
      <xdr:spPr>
        <a:xfrm>
          <a:off x="609600" y="190500"/>
          <a:ext cx="2438401" cy="121062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="vert270" rtlCol="0" anchor="ctr"/>
        <a:lstStyle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sz="6000"/>
            <a:t>Do Not Delete or Change the </a:t>
          </a:r>
        </a:p>
        <a:p>
          <a:pPr algn="ctr"/>
          <a:r>
            <a:rPr lang="en-US" sz="6000"/>
            <a:t>Formatting on this Worksheet*</a:t>
          </a:r>
        </a:p>
        <a:p>
          <a:pPr algn="ctr"/>
          <a:r>
            <a:rPr lang="en-US" sz="1800"/>
            <a:t>*You</a:t>
          </a:r>
          <a:r>
            <a:rPr lang="en-US" sz="1800" baseline="0"/>
            <a:t> may use these columns to transfer values if you wish</a:t>
          </a:r>
          <a:endParaRPr lang="en-US" sz="1800"/>
        </a:p>
      </xdr:txBody>
    </xdr:sp>
    <xdr:clientData/>
  </xdr:twoCellAnchor>
  <xdr:twoCellAnchor>
    <xdr:from>
      <xdr:col>6</xdr:col>
      <xdr:colOff>0</xdr:colOff>
      <xdr:row>32</xdr:row>
      <xdr:rowOff>0</xdr:rowOff>
    </xdr:from>
    <xdr:to>
      <xdr:col>17</xdr:col>
      <xdr:colOff>0</xdr:colOff>
      <xdr:row>36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600-000003000000}"/>
            </a:ext>
            <a:ext uri="{147F2762-F138-4A5C-976F-8EAC2B608ADB}">
              <a16:predDERef xmlns:a16="http://schemas.microsoft.com/office/drawing/2014/main" pred="{5AE78CDB-2192-41E0-813B-EE780B08F73F}"/>
            </a:ext>
          </a:extLst>
        </xdr:cNvPr>
        <xdr:cNvSpPr txBox="1">
          <a:spLocks noChangeArrowheads="1"/>
        </xdr:cNvSpPr>
      </xdr:nvSpPr>
      <xdr:spPr bwMode="auto">
        <a:xfrm>
          <a:off x="2809875" y="6200775"/>
          <a:ext cx="6705600" cy="762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wrap="square" lIns="27432" tIns="27432" rIns="0" bIns="0" anchor="t" upright="1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Calibri"/>
              <a:cs typeface="Calibri"/>
            </a:rPr>
            <a:t>For the following, please enter the location of the minimum design factor, what if any stress concentration(RR-retaining ring, K-mill end keyseat, SRSF-sharp radius shouler fillet, LRSF-large radius shoulder fillet or other) is present and what criteria was used (Goodman, Morrow, Gerber, SWT or 1st-cycle yield). You may also discuss other design issues in the note section.</a:t>
          </a:r>
        </a:p>
      </xdr:txBody>
    </xdr:sp>
    <xdr:clientData/>
  </xdr:twoCellAnchor>
  <xdr:twoCellAnchor>
    <xdr:from>
      <xdr:col>6</xdr:col>
      <xdr:colOff>0</xdr:colOff>
      <xdr:row>44</xdr:row>
      <xdr:rowOff>0</xdr:rowOff>
    </xdr:from>
    <xdr:to>
      <xdr:col>17</xdr:col>
      <xdr:colOff>0</xdr:colOff>
      <xdr:row>48</xdr:row>
      <xdr:rowOff>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0000000-0008-0000-0600-000004000000}"/>
            </a:ext>
            <a:ext uri="{147F2762-F138-4A5C-976F-8EAC2B608ADB}">
              <a16:predDERef xmlns:a16="http://schemas.microsoft.com/office/drawing/2014/main" pred="{CB3CB19D-E4EC-4D5D-8E45-864D9F53B030}"/>
            </a:ext>
          </a:extLst>
        </xdr:cNvPr>
        <xdr:cNvSpPr txBox="1">
          <a:spLocks noChangeArrowheads="1"/>
        </xdr:cNvSpPr>
      </xdr:nvSpPr>
      <xdr:spPr bwMode="auto">
        <a:xfrm>
          <a:off x="2809875" y="8486775"/>
          <a:ext cx="6705600" cy="762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wrap="square" lIns="27432" tIns="27432" rIns="0" bIns="0" anchor="t" upright="1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Calibri"/>
              <a:cs typeface="Calibri"/>
            </a:rPr>
            <a:t>For the following, please enter the location of the minimum design factor, what if any stress concentration(RR-retaining ring, K-mill end keyseat, SRSF-sharp radius shouler fillet, LRSF-large radius shoulder fillet or other) is present and what criteria was used (Goodman, Morrow, Gerber, SWT or 1st-cycle yield). You may also discuss other design issues in the note section.</a:t>
          </a:r>
        </a:p>
      </xdr:txBody>
    </xdr:sp>
    <xdr:clientData/>
  </xdr:twoCellAnchor>
  <xdr:twoCellAnchor>
    <xdr:from>
      <xdr:col>6</xdr:col>
      <xdr:colOff>0</xdr:colOff>
      <xdr:row>56</xdr:row>
      <xdr:rowOff>0</xdr:rowOff>
    </xdr:from>
    <xdr:to>
      <xdr:col>17</xdr:col>
      <xdr:colOff>0</xdr:colOff>
      <xdr:row>60</xdr:row>
      <xdr:rowOff>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600-000005000000}"/>
            </a:ext>
            <a:ext uri="{147F2762-F138-4A5C-976F-8EAC2B608ADB}">
              <a16:predDERef xmlns:a16="http://schemas.microsoft.com/office/drawing/2014/main" pred="{EE1B94F8-36FD-4775-8E94-3A36940549EA}"/>
            </a:ext>
          </a:extLst>
        </xdr:cNvPr>
        <xdr:cNvSpPr txBox="1">
          <a:spLocks noChangeArrowheads="1"/>
        </xdr:cNvSpPr>
      </xdr:nvSpPr>
      <xdr:spPr bwMode="auto">
        <a:xfrm>
          <a:off x="2809875" y="10772775"/>
          <a:ext cx="6705600" cy="762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wrap="square" lIns="27432" tIns="27432" rIns="0" bIns="0" anchor="t" upright="1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r>
            <a:rPr lang="en-US" sz="1100" b="0" i="0" u="none" strike="noStrike" baseline="0">
              <a:solidFill>
                <a:srgbClr val="000000"/>
              </a:solidFill>
              <a:latin typeface="Calibri"/>
              <a:cs typeface="Calibri"/>
            </a:rPr>
            <a:t>For the following, please enter the location of the minimum design factor, what if any stress concentration(RR-retaining ring, K-mill end keyseat, SRSF-sharp radius shouler fillet, LRSF-large radius shoulder fillet or other) is present and what criteria was used (Goodman, Morrow, Gerber, SWT or 1st-cycle yield). You may also discuss other design issues in the note section.</a:t>
          </a:r>
        </a:p>
      </xdr:txBody>
    </xdr:sp>
    <xdr:clientData/>
  </xdr:twoCellAnchor>
  <xdr:twoCellAnchor editAs="oneCell">
    <xdr:from>
      <xdr:col>5</xdr:col>
      <xdr:colOff>180975</xdr:colOff>
      <xdr:row>1</xdr:row>
      <xdr:rowOff>95250</xdr:rowOff>
    </xdr:from>
    <xdr:to>
      <xdr:col>16</xdr:col>
      <xdr:colOff>590550</xdr:colOff>
      <xdr:row>18</xdr:row>
      <xdr:rowOff>142875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600-000006000000}"/>
            </a:ext>
            <a:ext uri="{147F2762-F138-4A5C-976F-8EAC2B608ADB}">
              <a16:predDERef xmlns:a16="http://schemas.microsoft.com/office/drawing/2014/main" pred="{9C9C83A5-7D65-449B-8B14-D36B840E45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90825" y="285750"/>
          <a:ext cx="6705600" cy="33909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0</xdr:row>
      <xdr:rowOff>57150</xdr:rowOff>
    </xdr:from>
    <xdr:to>
      <xdr:col>6</xdr:col>
      <xdr:colOff>276873</xdr:colOff>
      <xdr:row>15</xdr:row>
      <xdr:rowOff>105373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00000000-0008-0000-07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3350" y="57150"/>
          <a:ext cx="3801123" cy="2810473"/>
        </a:xfrm>
        <a:prstGeom prst="rect">
          <a:avLst/>
        </a:prstGeom>
      </xdr:spPr>
    </xdr:pic>
    <xdr:clientData/>
  </xdr:twoCellAnchor>
  <xdr:twoCellAnchor editAs="oneCell">
    <xdr:from>
      <xdr:col>0</xdr:col>
      <xdr:colOff>542925</xdr:colOff>
      <xdr:row>32</xdr:row>
      <xdr:rowOff>142875</xdr:rowOff>
    </xdr:from>
    <xdr:to>
      <xdr:col>5</xdr:col>
      <xdr:colOff>457352</xdr:colOff>
      <xdr:row>34</xdr:row>
      <xdr:rowOff>123842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00000000-0008-0000-07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42925" y="6035675"/>
          <a:ext cx="2962427" cy="349267"/>
        </a:xfrm>
        <a:prstGeom prst="rect">
          <a:avLst/>
        </a:prstGeom>
      </xdr:spPr>
    </xdr:pic>
    <xdr:clientData/>
  </xdr:twoCellAnchor>
  <xdr:twoCellAnchor editAs="oneCell">
    <xdr:from>
      <xdr:col>0</xdr:col>
      <xdr:colOff>63500</xdr:colOff>
      <xdr:row>16</xdr:row>
      <xdr:rowOff>120650</xdr:rowOff>
    </xdr:from>
    <xdr:to>
      <xdr:col>6</xdr:col>
      <xdr:colOff>409780</xdr:colOff>
      <xdr:row>31</xdr:row>
      <xdr:rowOff>139841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00000000-0008-0000-07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3500" y="3067050"/>
          <a:ext cx="4003880" cy="2781441"/>
        </a:xfrm>
        <a:prstGeom prst="rect">
          <a:avLst/>
        </a:prstGeom>
      </xdr:spPr>
    </xdr:pic>
    <xdr:clientData/>
  </xdr:twoCellAnchor>
  <xdr:twoCellAnchor editAs="oneCell">
    <xdr:from>
      <xdr:col>6</xdr:col>
      <xdr:colOff>361950</xdr:colOff>
      <xdr:row>0</xdr:row>
      <xdr:rowOff>28575</xdr:rowOff>
    </xdr:from>
    <xdr:to>
      <xdr:col>14</xdr:col>
      <xdr:colOff>152640</xdr:colOff>
      <xdr:row>7</xdr:row>
      <xdr:rowOff>28640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00000000-0008-0000-07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019550" y="28575"/>
          <a:ext cx="4667490" cy="1289115"/>
        </a:xfrm>
        <a:prstGeom prst="rect">
          <a:avLst/>
        </a:prstGeom>
      </xdr:spPr>
    </xdr:pic>
    <xdr:clientData/>
  </xdr:twoCellAnchor>
  <xdr:twoCellAnchor editAs="oneCell">
    <xdr:from>
      <xdr:col>8</xdr:col>
      <xdr:colOff>561975</xdr:colOff>
      <xdr:row>8</xdr:row>
      <xdr:rowOff>76200</xdr:rowOff>
    </xdr:from>
    <xdr:to>
      <xdr:col>14</xdr:col>
      <xdr:colOff>85889</xdr:colOff>
      <xdr:row>34</xdr:row>
      <xdr:rowOff>35165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00000000-0008-0000-07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438775" y="1549400"/>
          <a:ext cx="3181514" cy="4746865"/>
        </a:xfrm>
        <a:prstGeom prst="rect">
          <a:avLst/>
        </a:prstGeom>
      </xdr:spPr>
    </xdr:pic>
    <xdr:clientData/>
  </xdr:twoCellAnchor>
  <xdr:twoCellAnchor editAs="oneCell">
    <xdr:from>
      <xdr:col>14</xdr:col>
      <xdr:colOff>276225</xdr:colOff>
      <xdr:row>9</xdr:row>
      <xdr:rowOff>47625</xdr:rowOff>
    </xdr:from>
    <xdr:to>
      <xdr:col>19</xdr:col>
      <xdr:colOff>428789</xdr:colOff>
      <xdr:row>33</xdr:row>
      <xdr:rowOff>25622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00000000-0008-0000-07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8810625" y="1704975"/>
          <a:ext cx="3200564" cy="4397597"/>
        </a:xfrm>
        <a:prstGeom prst="rect">
          <a:avLst/>
        </a:prstGeom>
      </xdr:spPr>
    </xdr:pic>
    <xdr:clientData/>
  </xdr:twoCellAnchor>
  <xdr:twoCellAnchor editAs="oneCell">
    <xdr:from>
      <xdr:col>19</xdr:col>
      <xdr:colOff>523875</xdr:colOff>
      <xdr:row>9</xdr:row>
      <xdr:rowOff>47625</xdr:rowOff>
    </xdr:from>
    <xdr:to>
      <xdr:col>25</xdr:col>
      <xdr:colOff>57314</xdr:colOff>
      <xdr:row>35</xdr:row>
      <xdr:rowOff>44692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00000000-0008-0000-07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2106275" y="1704975"/>
          <a:ext cx="3191039" cy="4784967"/>
        </a:xfrm>
        <a:prstGeom prst="rect">
          <a:avLst/>
        </a:prstGeom>
      </xdr:spPr>
    </xdr:pic>
    <xdr:clientData/>
  </xdr:twoCellAnchor>
  <xdr:twoCellAnchor editAs="oneCell">
    <xdr:from>
      <xdr:col>25</xdr:col>
      <xdr:colOff>38100</xdr:colOff>
      <xdr:row>9</xdr:row>
      <xdr:rowOff>104775</xdr:rowOff>
    </xdr:from>
    <xdr:to>
      <xdr:col>30</xdr:col>
      <xdr:colOff>123986</xdr:colOff>
      <xdr:row>33</xdr:row>
      <xdr:rowOff>16094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00000000-0008-0000-07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5278100" y="1762125"/>
          <a:ext cx="3133886" cy="4330919"/>
        </a:xfrm>
        <a:prstGeom prst="rect">
          <a:avLst/>
        </a:prstGeom>
      </xdr:spPr>
    </xdr:pic>
    <xdr:clientData/>
  </xdr:twoCellAnchor>
  <xdr:twoCellAnchor editAs="oneCell">
    <xdr:from>
      <xdr:col>30</xdr:col>
      <xdr:colOff>73025</xdr:colOff>
      <xdr:row>9</xdr:row>
      <xdr:rowOff>85725</xdr:rowOff>
    </xdr:from>
    <xdr:to>
      <xdr:col>35</xdr:col>
      <xdr:colOff>92233</xdr:colOff>
      <xdr:row>33</xdr:row>
      <xdr:rowOff>6569</xdr:rowOff>
    </xdr:to>
    <xdr:pic>
      <xdr:nvPicPr>
        <xdr:cNvPr id="18" name="Picture 17">
          <a:extLst>
            <a:ext uri="{FF2B5EF4-FFF2-40B4-BE49-F238E27FC236}">
              <a16:creationId xmlns:a16="http://schemas.microsoft.com/office/drawing/2014/main" id="{00000000-0008-0000-07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8361025" y="1743075"/>
          <a:ext cx="3067208" cy="4340444"/>
        </a:xfrm>
        <a:prstGeom prst="rect">
          <a:avLst/>
        </a:prstGeom>
      </xdr:spPr>
    </xdr:pic>
    <xdr:clientData/>
  </xdr:twoCellAnchor>
  <xdr:twoCellAnchor editAs="oneCell">
    <xdr:from>
      <xdr:col>35</xdr:col>
      <xdr:colOff>0</xdr:colOff>
      <xdr:row>9</xdr:row>
      <xdr:rowOff>104775</xdr:rowOff>
    </xdr:from>
    <xdr:to>
      <xdr:col>39</xdr:col>
      <xdr:colOff>581180</xdr:colOff>
      <xdr:row>21</xdr:row>
      <xdr:rowOff>82660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id="{00000000-0008-0000-07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21336000" y="1762125"/>
          <a:ext cx="3019580" cy="218768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47625</xdr:rowOff>
    </xdr:from>
    <xdr:to>
      <xdr:col>5</xdr:col>
      <xdr:colOff>333547</xdr:colOff>
      <xdr:row>16</xdr:row>
      <xdr:rowOff>19197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47625"/>
          <a:ext cx="3352972" cy="2917972"/>
        </a:xfrm>
        <a:prstGeom prst="rect">
          <a:avLst/>
        </a:prstGeom>
      </xdr:spPr>
    </xdr:pic>
    <xdr:clientData/>
  </xdr:twoCellAnchor>
  <xdr:twoCellAnchor editAs="oneCell">
    <xdr:from>
      <xdr:col>0</xdr:col>
      <xdr:colOff>124278</xdr:colOff>
      <xdr:row>17</xdr:row>
      <xdr:rowOff>38100</xdr:rowOff>
    </xdr:from>
    <xdr:to>
      <xdr:col>4</xdr:col>
      <xdr:colOff>449176</xdr:colOff>
      <xdr:row>20</xdr:row>
      <xdr:rowOff>164682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4278" y="3168650"/>
          <a:ext cx="2763298" cy="679032"/>
        </a:xfrm>
        <a:prstGeom prst="rect">
          <a:avLst/>
        </a:prstGeom>
      </xdr:spPr>
    </xdr:pic>
    <xdr:clientData/>
  </xdr:twoCellAnchor>
  <xdr:twoCellAnchor editAs="oneCell">
    <xdr:from>
      <xdr:col>0</xdr:col>
      <xdr:colOff>139700</xdr:colOff>
      <xdr:row>21</xdr:row>
      <xdr:rowOff>130628</xdr:rowOff>
    </xdr:from>
    <xdr:to>
      <xdr:col>4</xdr:col>
      <xdr:colOff>401094</xdr:colOff>
      <xdr:row>37</xdr:row>
      <xdr:rowOff>8310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39700" y="3997778"/>
          <a:ext cx="2699794" cy="2824082"/>
        </a:xfrm>
        <a:prstGeom prst="rect">
          <a:avLst/>
        </a:prstGeom>
      </xdr:spPr>
    </xdr:pic>
    <xdr:clientData/>
  </xdr:twoCellAnchor>
  <xdr:twoCellAnchor editAs="oneCell">
    <xdr:from>
      <xdr:col>0</xdr:col>
      <xdr:colOff>247196</xdr:colOff>
      <xdr:row>38</xdr:row>
      <xdr:rowOff>125186</xdr:rowOff>
    </xdr:from>
    <xdr:to>
      <xdr:col>5</xdr:col>
      <xdr:colOff>559425</xdr:colOff>
      <xdr:row>43</xdr:row>
      <xdr:rowOff>142923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47196" y="7122886"/>
          <a:ext cx="3360229" cy="938487"/>
        </a:xfrm>
        <a:prstGeom prst="rect">
          <a:avLst/>
        </a:prstGeom>
      </xdr:spPr>
    </xdr:pic>
    <xdr:clientData/>
  </xdr:twoCellAnchor>
  <xdr:twoCellAnchor editAs="oneCell">
    <xdr:from>
      <xdr:col>0</xdr:col>
      <xdr:colOff>288471</xdr:colOff>
      <xdr:row>44</xdr:row>
      <xdr:rowOff>180068</xdr:rowOff>
    </xdr:from>
    <xdr:to>
      <xdr:col>3</xdr:col>
      <xdr:colOff>39995</xdr:colOff>
      <xdr:row>48</xdr:row>
      <xdr:rowOff>163776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88471" y="8282668"/>
          <a:ext cx="1580324" cy="720308"/>
        </a:xfrm>
        <a:prstGeom prst="rect">
          <a:avLst/>
        </a:prstGeom>
      </xdr:spPr>
    </xdr:pic>
    <xdr:clientData/>
  </xdr:twoCellAnchor>
  <xdr:twoCellAnchor editAs="oneCell">
    <xdr:from>
      <xdr:col>0</xdr:col>
      <xdr:colOff>256721</xdr:colOff>
      <xdr:row>49</xdr:row>
      <xdr:rowOff>173264</xdr:rowOff>
    </xdr:from>
    <xdr:to>
      <xdr:col>8</xdr:col>
      <xdr:colOff>18834</xdr:colOff>
      <xdr:row>57</xdr:row>
      <xdr:rowOff>178783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8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256721" y="9196614"/>
          <a:ext cx="4638913" cy="1478719"/>
        </a:xfrm>
        <a:prstGeom prst="rect">
          <a:avLst/>
        </a:prstGeom>
      </xdr:spPr>
    </xdr:pic>
    <xdr:clientData/>
  </xdr:twoCellAnchor>
  <xdr:twoCellAnchor editAs="oneCell">
    <xdr:from>
      <xdr:col>4</xdr:col>
      <xdr:colOff>486682</xdr:colOff>
      <xdr:row>21</xdr:row>
      <xdr:rowOff>123371</xdr:rowOff>
    </xdr:from>
    <xdr:to>
      <xdr:col>12</xdr:col>
      <xdr:colOff>255145</xdr:colOff>
      <xdr:row>28</xdr:row>
      <xdr:rowOff>103480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00000000-0008-0000-08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2925082" y="3990521"/>
          <a:ext cx="4645263" cy="1269159"/>
        </a:xfrm>
        <a:prstGeom prst="rect">
          <a:avLst/>
        </a:prstGeom>
      </xdr:spPr>
    </xdr:pic>
    <xdr:clientData/>
  </xdr:twoCellAnchor>
  <xdr:twoCellAnchor editAs="oneCell">
    <xdr:from>
      <xdr:col>4</xdr:col>
      <xdr:colOff>511175</xdr:colOff>
      <xdr:row>28</xdr:row>
      <xdr:rowOff>152400</xdr:rowOff>
    </xdr:from>
    <xdr:to>
      <xdr:col>5</xdr:col>
      <xdr:colOff>542504</xdr:colOff>
      <xdr:row>30</xdr:row>
      <xdr:rowOff>49907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00000000-0008-0000-08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2949575" y="5308600"/>
          <a:ext cx="640929" cy="265807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371475</xdr:colOff>
      <xdr:row>0</xdr:row>
      <xdr:rowOff>142875</xdr:rowOff>
    </xdr:from>
    <xdr:to>
      <xdr:col>9</xdr:col>
      <xdr:colOff>1155595</xdr:colOff>
      <xdr:row>10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24675" y="142875"/>
          <a:ext cx="2505075" cy="1809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981075</xdr:colOff>
      <xdr:row>0</xdr:row>
      <xdr:rowOff>142875</xdr:rowOff>
    </xdr:from>
    <xdr:to>
      <xdr:col>14</xdr:col>
      <xdr:colOff>238125</xdr:colOff>
      <xdr:row>9</xdr:row>
      <xdr:rowOff>150556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63075" y="142875"/>
          <a:ext cx="1524000" cy="17698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</xdr:row>
          <xdr:rowOff>0</xdr:rowOff>
        </xdr:from>
        <xdr:to>
          <xdr:col>2</xdr:col>
          <xdr:colOff>30480</xdr:colOff>
          <xdr:row>7</xdr:row>
          <xdr:rowOff>30480</xdr:rowOff>
        </xdr:to>
        <xdr:sp macro="" textlink="">
          <xdr:nvSpPr>
            <xdr:cNvPr id="7169" name="Drop Down 1" hidden="1">
              <a:extLst>
                <a:ext uri="{63B3BB69-23CF-44E3-9099-C40C66FF867C}">
                  <a14:compatExt spid="_x0000_s7169"/>
                </a:ext>
                <a:ext uri="{FF2B5EF4-FFF2-40B4-BE49-F238E27FC236}">
                  <a16:creationId xmlns:a16="http://schemas.microsoft.com/office/drawing/2014/main" id="{00000000-0008-0000-0900-000001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0</xdr:colOff>
          <xdr:row>6</xdr:row>
          <xdr:rowOff>0</xdr:rowOff>
        </xdr:from>
        <xdr:to>
          <xdr:col>25</xdr:col>
          <xdr:colOff>106680</xdr:colOff>
          <xdr:row>7</xdr:row>
          <xdr:rowOff>30480</xdr:rowOff>
        </xdr:to>
        <xdr:sp macro="" textlink="">
          <xdr:nvSpPr>
            <xdr:cNvPr id="7170" name="Drop Down 2" hidden="1">
              <a:extLst>
                <a:ext uri="{63B3BB69-23CF-44E3-9099-C40C66FF867C}">
                  <a14:compatExt spid="_x0000_s7170"/>
                </a:ext>
                <a:ext uri="{FF2B5EF4-FFF2-40B4-BE49-F238E27FC236}">
                  <a16:creationId xmlns:a16="http://schemas.microsoft.com/office/drawing/2014/main" id="{00000000-0008-0000-0900-00000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32</xdr:col>
      <xdr:colOff>0</xdr:colOff>
      <xdr:row>3</xdr:row>
      <xdr:rowOff>0</xdr:rowOff>
    </xdr:from>
    <xdr:to>
      <xdr:col>38</xdr:col>
      <xdr:colOff>114301</xdr:colOff>
      <xdr:row>11</xdr:row>
      <xdr:rowOff>266700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9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83800" y="619125"/>
          <a:ext cx="4867276" cy="1790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40</xdr:col>
      <xdr:colOff>0</xdr:colOff>
      <xdr:row>3</xdr:row>
      <xdr:rowOff>0</xdr:rowOff>
    </xdr:from>
    <xdr:to>
      <xdr:col>47</xdr:col>
      <xdr:colOff>304801</xdr:colOff>
      <xdr:row>11</xdr:row>
      <xdr:rowOff>257175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9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22525" y="619125"/>
          <a:ext cx="4943476" cy="17811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54</xdr:col>
      <xdr:colOff>0</xdr:colOff>
      <xdr:row>25</xdr:row>
      <xdr:rowOff>81643</xdr:rowOff>
    </xdr:from>
    <xdr:to>
      <xdr:col>60</xdr:col>
      <xdr:colOff>19051</xdr:colOff>
      <xdr:row>37</xdr:row>
      <xdr:rowOff>114300</xdr:rowOff>
    </xdr:to>
    <xdr:graphicFrame macro="">
      <xdr:nvGraphicFramePr>
        <xdr:cNvPr id="7" name="Chart 7">
          <a:extLst>
            <a:ext uri="{FF2B5EF4-FFF2-40B4-BE49-F238E27FC236}">
              <a16:creationId xmlns:a16="http://schemas.microsoft.com/office/drawing/2014/main" id="{00000000-0008-0000-09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54</xdr:col>
      <xdr:colOff>5442</xdr:colOff>
      <xdr:row>38</xdr:row>
      <xdr:rowOff>5443</xdr:rowOff>
    </xdr:from>
    <xdr:to>
      <xdr:col>60</xdr:col>
      <xdr:colOff>84667</xdr:colOff>
      <xdr:row>49</xdr:row>
      <xdr:rowOff>127000</xdr:rowOff>
    </xdr:to>
    <xdr:graphicFrame macro="">
      <xdr:nvGraphicFramePr>
        <xdr:cNvPr id="6" name="Chart 8">
          <a:extLst>
            <a:ext uri="{FF2B5EF4-FFF2-40B4-BE49-F238E27FC236}">
              <a16:creationId xmlns:a16="http://schemas.microsoft.com/office/drawing/2014/main" id="{00000000-0008-0000-09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11-27T19:36:09.90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1 536,'69'45'504,"-77"-49"-488,4 4-24,6 8-112,-4-8-256</inkml:trace>
</inkml: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5552F04E-E0B4-4669-9B54-8DF855CC423F}" name="Table2" displayName="Table2" ref="B13:V260" totalsRowShown="0" headerRowDxfId="48" dataDxfId="47">
  <autoFilter ref="B13:V260" xr:uid="{5552F04E-E0B4-4669-9B54-8DF855CC423F}"/>
  <sortState xmlns:xlrd2="http://schemas.microsoft.com/office/spreadsheetml/2017/richdata2" ref="B14:V260">
    <sortCondition ref="F13:F260"/>
  </sortState>
  <tableColumns count="21">
    <tableColumn id="2" xr3:uid="{6F9CA4FE-8CD1-480F-B8E6-B65DF68DFC85}" name="  ">
      <calculatedColumnFormula>CONCATENATE("ID/OD(mm): ",C14,"/",D14,", C/C0(kN): ",F14,"/",G14)</calculatedColumnFormula>
    </tableColumn>
    <tableColumn id="3" xr3:uid="{AE72639B-F2E9-4799-8A1D-B04F34672F40}" name="d [mm]" dataDxfId="46"/>
    <tableColumn id="4" xr3:uid="{4C3A5FA4-3549-483E-80FE-E550C207572A}" name="D [mm]2" dataDxfId="45"/>
    <tableColumn id="5" xr3:uid="{AEFDB235-67C1-478D-BB50-51823A356D04}" name="B [mm]" dataDxfId="44"/>
    <tableColumn id="6" xr3:uid="{290B5BA5-AE0D-4DE7-95F2-00A606A5284B}" name="C [kN]" dataDxfId="43" dataCellStyle="Comma"/>
    <tableColumn id="7" xr3:uid="{21604E0A-CAD3-4654-8F05-03081B359E29}" name="C0 [kN]" dataDxfId="42"/>
    <tableColumn id="8" xr3:uid="{62B9C35F-EC2B-4632-B896-B1E6C87E7251}" name="Pu [Kn]" dataDxfId="41"/>
    <tableColumn id="9" xr3:uid="{FF79187F-69DA-494C-B4A1-D457D97830A9}" name="Reference Speed [rpm]" dataDxfId="40"/>
    <tableColumn id="10" xr3:uid="{7ADA740E-C3E5-478F-9209-6E8D630236AE}" name="Limit Speed [rpm]" dataDxfId="39"/>
    <tableColumn id="11" xr3:uid="{A9258E06-3D65-43E9-8F5D-02DEAD176244}" name="[kg]" dataDxfId="38"/>
    <tableColumn id="12" xr3:uid="{0FADD21A-7BA2-449A-B3C0-AE189694BE72}" name="   " dataDxfId="37"/>
    <tableColumn id="16" xr3:uid="{2610B976-9E33-4737-BE5D-228A68855A3D}" name="d" dataDxfId="36"/>
    <tableColumn id="17" xr3:uid="{77CD8A1C-40CC-49B8-AABE-1C0DACA8DE6A}" name="d1" dataDxfId="35"/>
    <tableColumn id="18" xr3:uid="{5569F807-E2DD-4A30-ADFE-8115CA250121}" name="D12" dataDxfId="34"/>
    <tableColumn id="19" xr3:uid="{469AEE01-D1CE-459B-9C48-8EC3903A7E01}" name="D2" dataDxfId="33"/>
    <tableColumn id="20" xr3:uid="{3C84CB2D-42F3-4EEF-AF8E-542594DC4028}" name="r1.2min" dataDxfId="32"/>
    <tableColumn id="21" xr3:uid="{26B31E2C-73D7-44F8-AC94-95618400ED9A}" name="da.min" dataDxfId="31"/>
    <tableColumn id="22" xr3:uid="{91A9B266-7D32-4BB4-8931-72E11D011513}" name="Da.max" dataDxfId="30"/>
    <tableColumn id="23" xr3:uid="{8C725BDD-1E28-4FC4-9C87-3B80BBE8C8F8}" name="ra.max" dataDxfId="29"/>
    <tableColumn id="24" xr3:uid="{A4CC1397-4A33-48F8-B509-F6472CDD9CE5}" name="kr" dataDxfId="28"/>
    <tableColumn id="25" xr3:uid="{66130923-A71A-4035-92D3-D7E0A4992F6E}" name="f0" dataDxfId="27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94BA7169-9006-48FA-807E-8E0933401601}" name="Table3" displayName="Table3" ref="Y13:AX117" totalsRowShown="0" headerRowDxfId="26" dataDxfId="25">
  <autoFilter ref="Y13:AX117" xr:uid="{673299BB-DA5A-40F4-A645-17764D8C8763}"/>
  <tableColumns count="26">
    <tableColumn id="1" xr3:uid="{1ECAB940-C2D2-4EF8-9EAC-36EA00A85C23}" name=" "/>
    <tableColumn id="2" xr3:uid="{E34F0A1A-AA58-4AD8-AB63-7F056DEB6FF3}" name="d" dataDxfId="24"/>
    <tableColumn id="3" xr3:uid="{05C529E0-76C8-47C9-AD7A-FE384767A603}" name="D2" dataDxfId="23"/>
    <tableColumn id="4" xr3:uid="{19EFBCAC-5E11-4974-B514-4A671E307825}" name="B" dataDxfId="22"/>
    <tableColumn id="5" xr3:uid="{E4B614FF-BC90-4206-BA0A-85581D21BCA9}" name="C" dataDxfId="21"/>
    <tableColumn id="6" xr3:uid="{AE698F38-4CF8-44CE-9486-9C6F3390A06A}" name="C0" dataDxfId="20"/>
    <tableColumn id="7" xr3:uid="{2F72C4E2-A910-4375-9134-2BF1B79DE854}" name="Pu" dataDxfId="19"/>
    <tableColumn id="8" xr3:uid="{B27068B1-867F-4933-828C-D2AF313998F9}" name="Reference Speed" dataDxfId="18"/>
    <tableColumn id="9" xr3:uid="{B7DE4EF7-453D-4ACC-9B9C-07EA76CB0165}" name="Limit Speed" dataDxfId="17"/>
    <tableColumn id="10" xr3:uid="{D250D04F-3E37-46CE-84B7-42B360B645F6}" name="Column3" dataDxfId="16"/>
    <tableColumn id="11" xr3:uid="{AD546D99-D0D9-49E3-8ED7-24D948266A29}" name="Column4" dataDxfId="15"/>
    <tableColumn id="12" xr3:uid="{C14926A9-CDFB-46CF-AC6B-BB72B075ED7A}" name="Column5" dataDxfId="14"/>
    <tableColumn id="13" xr3:uid="{BC300BD2-DAA6-44F4-986A-1B15E2967DA1}" name="d6" dataDxfId="13"/>
    <tableColumn id="14" xr3:uid="{11B2184F-D3D5-47C0-9EDC-EEEF91C14A62}" name="d1" dataDxfId="12"/>
    <tableColumn id="15" xr3:uid="{2420790F-D10D-45D9-AAC6-5FEF26005B7A}" name="D17" dataDxfId="11"/>
    <tableColumn id="16" xr3:uid="{CC691866-D980-4854-9540-F5CC7BA77014}" name="F.E" dataDxfId="10"/>
    <tableColumn id="17" xr3:uid="{CCE7F784-82B7-4720-80AC-1007A324CCFF}" name="r1.2min" dataDxfId="9"/>
    <tableColumn id="18" xr3:uid="{7BD5BF28-0C06-41F6-A51B-914AB16E608E}" name="r3.4min" dataDxfId="8"/>
    <tableColumn id="19" xr3:uid="{1C7D9103-697A-46DE-AE1D-21FB41FC05BD}" name="S1" dataDxfId="7"/>
    <tableColumn id="20" xr3:uid="{22259A5F-68CC-44DE-A994-7FC70146F0D5}" name="da.min" dataDxfId="6"/>
    <tableColumn id="21" xr3:uid="{BF55977B-FC05-4966-8EE0-D2352A6D9F2A}" name="da.max" dataDxfId="5"/>
    <tableColumn id="22" xr3:uid="{2F0EF708-D2FF-4D40-B8B1-9E7DAAE75EDF}" name="da.Da.min" dataDxfId="4"/>
    <tableColumn id="23" xr3:uid="{DB6F1D69-AAAC-46D5-900D-29CBEC5BF093}" name="Da.max8" dataDxfId="3"/>
    <tableColumn id="24" xr3:uid="{7212B376-FC5E-4F58-B1BE-2350DE1C3F2E}" name="ra.max" dataDxfId="2"/>
    <tableColumn id="25" xr3:uid="{16755CE2-188B-4663-8070-9B539143ABC8}" name="rb.max" dataDxfId="1"/>
    <tableColumn id="26" xr3:uid="{D04B5F46-C129-4FD2-BCC2-505F265B67C9}" name="kr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7" Type="http://schemas.openxmlformats.org/officeDocument/2006/relationships/table" Target="../tables/table2.x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3.bin"/><Relationship Id="rId6" Type="http://schemas.openxmlformats.org/officeDocument/2006/relationships/table" Target="../tables/table1.xml"/><Relationship Id="rId5" Type="http://schemas.openxmlformats.org/officeDocument/2006/relationships/ctrlProp" Target="../ctrlProps/ctrlProp6.xml"/><Relationship Id="rId4" Type="http://schemas.openxmlformats.org/officeDocument/2006/relationships/ctrlProp" Target="../ctrlProps/ctrlProp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C4"/>
  <sheetViews>
    <sheetView workbookViewId="0"/>
  </sheetViews>
  <sheetFormatPr defaultRowHeight="14.45"/>
  <sheetData>
    <row r="1" spans="1:3">
      <c r="A1" t="s">
        <v>0</v>
      </c>
    </row>
    <row r="2" spans="1:3">
      <c r="A2" t="s">
        <v>1</v>
      </c>
    </row>
    <row r="3" spans="1:3" ht="15.6">
      <c r="A3" t="s">
        <v>2</v>
      </c>
      <c r="B3" s="62">
        <v>80</v>
      </c>
      <c r="C3" t="s">
        <v>3</v>
      </c>
    </row>
    <row r="4" spans="1:3" ht="15.6">
      <c r="A4" t="s">
        <v>4</v>
      </c>
      <c r="B4" s="62">
        <v>3</v>
      </c>
      <c r="C4" t="s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E076C8-0C70-488D-8C87-8123BECA839A}">
  <sheetPr codeName="Sheet2"/>
  <dimension ref="A1:F62"/>
  <sheetViews>
    <sheetView topLeftCell="A50" zoomScale="97" workbookViewId="0">
      <selection activeCell="C61" sqref="C61"/>
    </sheetView>
  </sheetViews>
  <sheetFormatPr defaultRowHeight="14.45"/>
  <cols>
    <col min="1" max="1" width="22.42578125" customWidth="1"/>
    <col min="2" max="2" width="12" customWidth="1"/>
    <col min="3" max="3" width="9.42578125" customWidth="1"/>
    <col min="4" max="4" width="22.5703125" customWidth="1"/>
    <col min="5" max="5" width="11.42578125" customWidth="1"/>
    <col min="6" max="6" width="15.140625" customWidth="1"/>
  </cols>
  <sheetData>
    <row r="1" spans="1:6" ht="21">
      <c r="A1" s="63" t="s">
        <v>5</v>
      </c>
      <c r="B1" s="63" t="s">
        <v>6</v>
      </c>
      <c r="C1" s="63" t="s">
        <v>7</v>
      </c>
      <c r="D1" s="63" t="s">
        <v>8</v>
      </c>
      <c r="E1" s="63" t="s">
        <v>9</v>
      </c>
      <c r="F1" s="63" t="s">
        <v>10</v>
      </c>
    </row>
    <row r="2" spans="1:6" ht="15.6">
      <c r="A2" t="s">
        <v>2</v>
      </c>
      <c r="B2">
        <f>Shafts!B10</f>
        <v>147</v>
      </c>
      <c r="C2" t="s">
        <v>11</v>
      </c>
      <c r="D2" t="s">
        <v>12</v>
      </c>
      <c r="E2" t="s">
        <v>13</v>
      </c>
      <c r="F2" t="s">
        <v>14</v>
      </c>
    </row>
    <row r="3" spans="1:6" ht="15.6">
      <c r="A3" t="s">
        <v>4</v>
      </c>
      <c r="B3">
        <f>Shafts!B12</f>
        <v>72</v>
      </c>
      <c r="C3" t="s">
        <v>11</v>
      </c>
      <c r="D3" t="s">
        <v>12</v>
      </c>
      <c r="E3" t="s">
        <v>13</v>
      </c>
      <c r="F3" t="s">
        <v>14</v>
      </c>
    </row>
    <row r="4" spans="1:6" ht="15.6">
      <c r="A4" t="s">
        <v>15</v>
      </c>
      <c r="C4" t="s">
        <v>16</v>
      </c>
      <c r="E4" t="s">
        <v>17</v>
      </c>
      <c r="F4" t="s">
        <v>18</v>
      </c>
    </row>
    <row r="5" spans="1:6" ht="15.6">
      <c r="A5" t="s">
        <v>19</v>
      </c>
      <c r="C5" t="s">
        <v>16</v>
      </c>
      <c r="E5" t="s">
        <v>17</v>
      </c>
      <c r="F5" t="s">
        <v>18</v>
      </c>
    </row>
    <row r="6" spans="1:6" ht="15.6">
      <c r="A6" t="s">
        <v>20</v>
      </c>
      <c r="C6" t="s">
        <v>16</v>
      </c>
      <c r="E6" t="s">
        <v>17</v>
      </c>
      <c r="F6" t="s">
        <v>18</v>
      </c>
    </row>
    <row r="7" spans="1:6" ht="15.6">
      <c r="A7" t="s">
        <v>21</v>
      </c>
      <c r="C7" t="s">
        <v>16</v>
      </c>
      <c r="E7" t="s">
        <v>17</v>
      </c>
      <c r="F7" t="s">
        <v>18</v>
      </c>
    </row>
    <row r="8" spans="1:6">
      <c r="A8" t="s">
        <v>22</v>
      </c>
      <c r="C8" t="s">
        <v>23</v>
      </c>
      <c r="D8" t="s">
        <v>24</v>
      </c>
      <c r="E8" t="s">
        <v>25</v>
      </c>
      <c r="F8" t="s">
        <v>26</v>
      </c>
    </row>
    <row r="9" spans="1:6">
      <c r="A9" s="307" t="s">
        <v>27</v>
      </c>
      <c r="B9" s="118">
        <f>Gears!U45</f>
        <v>42.119479693268431</v>
      </c>
      <c r="C9" s="118" t="s">
        <v>28</v>
      </c>
      <c r="D9" t="s">
        <v>29</v>
      </c>
      <c r="E9" t="s">
        <v>30</v>
      </c>
      <c r="F9" t="s">
        <v>17</v>
      </c>
    </row>
    <row r="10" spans="1:6" ht="29.45">
      <c r="A10" t="s">
        <v>31</v>
      </c>
      <c r="B10" s="118">
        <f>Gears!P5</f>
        <v>472.69018098292923</v>
      </c>
      <c r="C10" s="118" t="s">
        <v>32</v>
      </c>
      <c r="D10" s="108" t="s">
        <v>33</v>
      </c>
      <c r="E10" t="s">
        <v>30</v>
      </c>
      <c r="F10" t="s">
        <v>17</v>
      </c>
    </row>
    <row r="11" spans="1:6" ht="29.45">
      <c r="A11" t="s">
        <v>34</v>
      </c>
      <c r="B11" s="118">
        <f>Gears!P7</f>
        <v>2058.828343836758</v>
      </c>
      <c r="C11" s="118" t="s">
        <v>32</v>
      </c>
      <c r="D11" s="108" t="s">
        <v>35</v>
      </c>
    </row>
    <row r="12" spans="1:6" ht="16.899999999999999">
      <c r="A12" t="s">
        <v>36</v>
      </c>
      <c r="B12" s="118">
        <f>Gears!Q5</f>
        <v>172.04515590769034</v>
      </c>
      <c r="C12" s="118" t="s">
        <v>32</v>
      </c>
      <c r="D12" s="108" t="s">
        <v>37</v>
      </c>
    </row>
    <row r="13" spans="1:6" ht="16.899999999999999">
      <c r="A13" t="s">
        <v>38</v>
      </c>
      <c r="B13" s="118">
        <f>Gears!Q7</f>
        <v>749.35223462016222</v>
      </c>
      <c r="C13" s="118" t="s">
        <v>32</v>
      </c>
      <c r="D13" s="108" t="s">
        <v>39</v>
      </c>
    </row>
    <row r="14" spans="1:6" ht="15.6">
      <c r="A14" t="s">
        <v>40</v>
      </c>
      <c r="B14">
        <f>Bearings!I7</f>
        <v>7</v>
      </c>
      <c r="C14" s="118" t="s">
        <v>41</v>
      </c>
      <c r="D14" s="269" t="s">
        <v>42</v>
      </c>
      <c r="E14" t="s">
        <v>43</v>
      </c>
      <c r="F14" t="s">
        <v>44</v>
      </c>
    </row>
    <row r="15" spans="1:6" ht="15.6">
      <c r="A15" t="s">
        <v>45</v>
      </c>
      <c r="B15">
        <f>Bearings!J7</f>
        <v>5</v>
      </c>
      <c r="C15" s="118" t="s">
        <v>41</v>
      </c>
      <c r="D15" s="269"/>
      <c r="E15" t="s">
        <v>43</v>
      </c>
      <c r="F15" t="s">
        <v>44</v>
      </c>
    </row>
    <row r="16" spans="1:6" ht="15.6">
      <c r="A16" t="s">
        <v>46</v>
      </c>
      <c r="B16">
        <f>Bearings!K7</f>
        <v>13</v>
      </c>
      <c r="C16" s="118" t="s">
        <v>41</v>
      </c>
      <c r="D16" s="269"/>
      <c r="E16" t="s">
        <v>43</v>
      </c>
      <c r="F16" t="s">
        <v>44</v>
      </c>
    </row>
    <row r="17" spans="1:6" ht="15.6">
      <c r="A17" t="s">
        <v>47</v>
      </c>
      <c r="B17">
        <f>Bearings!L7</f>
        <v>7</v>
      </c>
      <c r="C17" s="118" t="s">
        <v>41</v>
      </c>
      <c r="D17" s="269"/>
      <c r="E17" t="s">
        <v>43</v>
      </c>
      <c r="F17" t="s">
        <v>44</v>
      </c>
    </row>
    <row r="18" spans="1:6" ht="15.6">
      <c r="A18" t="s">
        <v>48</v>
      </c>
      <c r="B18">
        <f>Bearings!M7</f>
        <v>10</v>
      </c>
      <c r="C18" s="118" t="s">
        <v>41</v>
      </c>
      <c r="D18" s="269"/>
      <c r="E18" t="s">
        <v>43</v>
      </c>
      <c r="F18" t="s">
        <v>44</v>
      </c>
    </row>
    <row r="19" spans="1:6" ht="15.6">
      <c r="A19" t="s">
        <v>49</v>
      </c>
      <c r="B19">
        <f>Bearings!N7</f>
        <v>10</v>
      </c>
      <c r="C19" s="118" t="s">
        <v>41</v>
      </c>
      <c r="D19" s="269"/>
      <c r="E19" t="s">
        <v>43</v>
      </c>
      <c r="F19" t="s">
        <v>44</v>
      </c>
    </row>
    <row r="20" spans="1:6" ht="15.6">
      <c r="A20" t="s">
        <v>50</v>
      </c>
      <c r="B20">
        <f>Bearings!I5</f>
        <v>20</v>
      </c>
      <c r="D20" s="270" t="s">
        <v>51</v>
      </c>
      <c r="E20" t="s">
        <v>43</v>
      </c>
      <c r="F20" t="s">
        <v>13</v>
      </c>
    </row>
    <row r="21" spans="1:6" ht="15.6">
      <c r="A21" t="s">
        <v>52</v>
      </c>
      <c r="B21">
        <f>Bearings!J5</f>
        <v>15</v>
      </c>
      <c r="D21" s="270"/>
      <c r="E21" t="s">
        <v>43</v>
      </c>
      <c r="F21" t="s">
        <v>13</v>
      </c>
    </row>
    <row r="22" spans="1:6" ht="15.6">
      <c r="A22" t="s">
        <v>53</v>
      </c>
      <c r="B22">
        <f>Bearings!K5</f>
        <v>70</v>
      </c>
      <c r="D22" s="270"/>
      <c r="E22" t="s">
        <v>43</v>
      </c>
      <c r="F22" t="s">
        <v>13</v>
      </c>
    </row>
    <row r="23" spans="1:6" ht="15.6">
      <c r="A23" t="s">
        <v>54</v>
      </c>
      <c r="B23">
        <f>Bearings!L5</f>
        <v>45</v>
      </c>
      <c r="D23" s="270"/>
      <c r="E23" t="s">
        <v>43</v>
      </c>
      <c r="F23" t="s">
        <v>13</v>
      </c>
    </row>
    <row r="24" spans="1:6" ht="15.6">
      <c r="A24" t="s">
        <v>55</v>
      </c>
      <c r="B24">
        <f>Bearings!M5</f>
        <v>35</v>
      </c>
      <c r="D24" s="270"/>
      <c r="E24" t="s">
        <v>43</v>
      </c>
      <c r="F24" t="s">
        <v>13</v>
      </c>
    </row>
    <row r="25" spans="1:6" ht="15.6">
      <c r="A25" t="s">
        <v>56</v>
      </c>
      <c r="B25">
        <f>Bearings!N5</f>
        <v>35</v>
      </c>
      <c r="D25" s="270"/>
      <c r="E25" t="s">
        <v>43</v>
      </c>
      <c r="F25" t="s">
        <v>13</v>
      </c>
    </row>
    <row r="26" spans="1:6">
      <c r="A26" t="s">
        <v>57</v>
      </c>
      <c r="B26">
        <f>Gears!R50</f>
        <v>0.75</v>
      </c>
      <c r="C26" t="s">
        <v>23</v>
      </c>
      <c r="D26" s="269" t="s">
        <v>58</v>
      </c>
    </row>
    <row r="27" spans="1:6">
      <c r="A27" t="s">
        <v>59</v>
      </c>
      <c r="B27">
        <f>Gears!S50</f>
        <v>0.75</v>
      </c>
      <c r="C27" t="s">
        <v>23</v>
      </c>
      <c r="D27" s="269"/>
    </row>
    <row r="28" spans="1:6">
      <c r="A28" t="s">
        <v>60</v>
      </c>
      <c r="B28">
        <f>Gears!T50</f>
        <v>1.75</v>
      </c>
      <c r="C28" t="s">
        <v>23</v>
      </c>
      <c r="D28" s="269"/>
    </row>
    <row r="29" spans="1:6">
      <c r="A29" t="s">
        <v>61</v>
      </c>
      <c r="B29">
        <f>Gears!U50</f>
        <v>1.75</v>
      </c>
      <c r="C29" t="s">
        <v>23</v>
      </c>
      <c r="D29" s="269"/>
    </row>
    <row r="30" spans="1:6">
      <c r="A30" t="s">
        <v>62</v>
      </c>
      <c r="B30" s="153">
        <f>Loads!B22</f>
        <v>-251.5131919348247</v>
      </c>
      <c r="C30" t="s">
        <v>32</v>
      </c>
      <c r="D30" t="s">
        <v>63</v>
      </c>
      <c r="E30" t="s">
        <v>17</v>
      </c>
      <c r="F30" t="s">
        <v>26</v>
      </c>
    </row>
    <row r="31" spans="1:6">
      <c r="A31" t="s">
        <v>64</v>
      </c>
      <c r="B31" s="118">
        <f>Loads!B43</f>
        <v>-2207.1374440521317</v>
      </c>
      <c r="C31" t="s">
        <v>32</v>
      </c>
      <c r="D31" t="s">
        <v>65</v>
      </c>
      <c r="E31" t="s">
        <v>17</v>
      </c>
      <c r="F31" t="s">
        <v>26</v>
      </c>
    </row>
    <row r="32" spans="1:6">
      <c r="A32" t="s">
        <v>66</v>
      </c>
      <c r="B32" s="118">
        <f>Loads!B31</f>
        <v>5524.8746481000426</v>
      </c>
      <c r="C32" t="s">
        <v>32</v>
      </c>
      <c r="D32" t="s">
        <v>67</v>
      </c>
      <c r="E32" t="s">
        <v>17</v>
      </c>
      <c r="F32" t="s">
        <v>26</v>
      </c>
    </row>
    <row r="33" spans="1:6">
      <c r="A33" t="s">
        <v>68</v>
      </c>
      <c r="B33" s="118">
        <f>Loads!G31</f>
        <v>1126.4527065895584</v>
      </c>
      <c r="C33" t="s">
        <v>32</v>
      </c>
      <c r="D33" t="s">
        <v>69</v>
      </c>
      <c r="E33" t="s">
        <v>17</v>
      </c>
      <c r="F33" t="s">
        <v>26</v>
      </c>
    </row>
    <row r="34" spans="1:6">
      <c r="A34" t="s">
        <v>70</v>
      </c>
      <c r="B34">
        <f>Gears!P22</f>
        <v>10</v>
      </c>
    </row>
    <row r="35" spans="1:6">
      <c r="A35" t="s">
        <v>71</v>
      </c>
      <c r="B35">
        <f>Gears!P23</f>
        <v>3.2653061224489797</v>
      </c>
    </row>
    <row r="36" spans="1:6">
      <c r="A36" t="s">
        <v>72</v>
      </c>
      <c r="B36">
        <f>Gears!P24</f>
        <v>2.1768707482993199</v>
      </c>
    </row>
    <row r="37" spans="1:6" ht="15.6">
      <c r="A37" t="s">
        <v>73</v>
      </c>
      <c r="B37" s="118">
        <f>Loads!C23</f>
        <v>-49.548098811160472</v>
      </c>
      <c r="C37" t="s">
        <v>16</v>
      </c>
      <c r="D37" t="s">
        <v>74</v>
      </c>
      <c r="E37" t="s">
        <v>44</v>
      </c>
      <c r="F37" t="s">
        <v>13</v>
      </c>
    </row>
    <row r="38" spans="1:6" ht="15.6">
      <c r="A38" t="s">
        <v>75</v>
      </c>
      <c r="B38" s="118">
        <f>Loads!D23</f>
        <v>-175.30469477857284</v>
      </c>
      <c r="C38" t="s">
        <v>16</v>
      </c>
      <c r="D38" t="s">
        <v>76</v>
      </c>
      <c r="E38" t="s">
        <v>44</v>
      </c>
      <c r="F38" t="s">
        <v>13</v>
      </c>
    </row>
    <row r="39" spans="1:6" ht="15.6">
      <c r="A39" t="s">
        <v>77</v>
      </c>
      <c r="B39" s="118">
        <f>Loads!E23</f>
        <v>-49.548098811160486</v>
      </c>
      <c r="C39" t="s">
        <v>16</v>
      </c>
      <c r="D39" t="s">
        <v>78</v>
      </c>
      <c r="E39" t="s">
        <v>44</v>
      </c>
      <c r="F39" t="s">
        <v>13</v>
      </c>
    </row>
    <row r="40" spans="1:6" ht="15.6">
      <c r="A40" t="s">
        <v>79</v>
      </c>
      <c r="B40" s="118">
        <f>Loads!C36</f>
        <v>5221.0065424545401</v>
      </c>
      <c r="C40" t="s">
        <v>16</v>
      </c>
      <c r="D40" t="s">
        <v>74</v>
      </c>
      <c r="E40" t="s">
        <v>44</v>
      </c>
      <c r="F40" t="s">
        <v>13</v>
      </c>
    </row>
    <row r="41" spans="1:6" ht="15.6">
      <c r="A41" t="s">
        <v>80</v>
      </c>
      <c r="B41" s="118">
        <f>Loads!D36</f>
        <v>7983.4438665045609</v>
      </c>
      <c r="C41" t="s">
        <v>16</v>
      </c>
      <c r="D41" t="s">
        <v>81</v>
      </c>
      <c r="E41" t="s">
        <v>44</v>
      </c>
      <c r="F41" t="s">
        <v>13</v>
      </c>
    </row>
    <row r="42" spans="1:6" ht="15.6">
      <c r="A42" t="s">
        <v>82</v>
      </c>
      <c r="B42" s="118">
        <f>Loads!E36</f>
        <v>16063.571699077122</v>
      </c>
      <c r="C42" t="s">
        <v>16</v>
      </c>
      <c r="D42" t="s">
        <v>83</v>
      </c>
      <c r="E42" t="s">
        <v>44</v>
      </c>
      <c r="F42" t="s">
        <v>13</v>
      </c>
    </row>
    <row r="43" spans="1:6" ht="15.6">
      <c r="A43" t="s">
        <v>84</v>
      </c>
      <c r="B43" s="118">
        <f>Loads!F36</f>
        <v>4204.161068529228</v>
      </c>
      <c r="C43" t="s">
        <v>16</v>
      </c>
      <c r="D43" t="s">
        <v>85</v>
      </c>
      <c r="E43" t="s">
        <v>44</v>
      </c>
      <c r="F43" t="s">
        <v>13</v>
      </c>
    </row>
    <row r="44" spans="1:6" ht="15.6">
      <c r="A44" t="s">
        <v>86</v>
      </c>
      <c r="B44" s="118">
        <f>Loads!C44</f>
        <v>-999.83326215561567</v>
      </c>
      <c r="C44" t="s">
        <v>16</v>
      </c>
      <c r="D44" t="s">
        <v>74</v>
      </c>
      <c r="E44" t="s">
        <v>44</v>
      </c>
      <c r="F44" t="s">
        <v>13</v>
      </c>
    </row>
    <row r="45" spans="1:6" ht="15.6">
      <c r="A45" t="s">
        <v>87</v>
      </c>
      <c r="B45" s="118">
        <f>Loads!D44</f>
        <v>-3206.9707062077478</v>
      </c>
      <c r="C45" t="s">
        <v>16</v>
      </c>
      <c r="D45" t="s">
        <v>88</v>
      </c>
      <c r="E45" t="s">
        <v>44</v>
      </c>
      <c r="F45" t="s">
        <v>13</v>
      </c>
    </row>
    <row r="46" spans="1:6" ht="15.6">
      <c r="A46" t="s">
        <v>89</v>
      </c>
      <c r="B46" s="118">
        <f>Loads!E44</f>
        <v>-999.83326215561556</v>
      </c>
      <c r="C46" t="s">
        <v>16</v>
      </c>
      <c r="D46" t="s">
        <v>78</v>
      </c>
      <c r="E46" t="s">
        <v>44</v>
      </c>
      <c r="F46" t="s">
        <v>13</v>
      </c>
    </row>
    <row r="47" spans="1:6">
      <c r="A47" t="s">
        <v>90</v>
      </c>
      <c r="B47" s="227">
        <f>Gears!U40</f>
        <v>5.333333333333333</v>
      </c>
      <c r="C47" t="s">
        <v>23</v>
      </c>
      <c r="D47" s="270" t="s">
        <v>91</v>
      </c>
    </row>
    <row r="48" spans="1:6">
      <c r="A48" t="s">
        <v>92</v>
      </c>
      <c r="B48" s="227">
        <f>Gears!U41</f>
        <v>16.333333333333332</v>
      </c>
      <c r="C48" t="s">
        <v>23</v>
      </c>
      <c r="D48" s="270"/>
    </row>
    <row r="49" spans="1:6">
      <c r="A49" t="s">
        <v>93</v>
      </c>
      <c r="B49" s="227">
        <f>Gears!U42</f>
        <v>3.75</v>
      </c>
      <c r="C49" t="s">
        <v>23</v>
      </c>
      <c r="D49" s="270"/>
    </row>
    <row r="50" spans="1:6">
      <c r="A50" t="s">
        <v>94</v>
      </c>
      <c r="B50" s="227">
        <f>Gears!U43</f>
        <v>5.625</v>
      </c>
      <c r="C50" t="s">
        <v>23</v>
      </c>
      <c r="D50" s="270"/>
    </row>
    <row r="51" spans="1:6" ht="15.6">
      <c r="A51" t="s">
        <v>95</v>
      </c>
      <c r="B51" s="118">
        <f>Loads!D24</f>
        <v>1260.5071492878112</v>
      </c>
      <c r="C51" t="s">
        <v>16</v>
      </c>
      <c r="D51" t="s">
        <v>96</v>
      </c>
    </row>
    <row r="52" spans="1:6" ht="15.6">
      <c r="A52" t="s">
        <v>97</v>
      </c>
      <c r="B52" s="118">
        <f>Loads!D37</f>
        <v>3860.3031446939217</v>
      </c>
      <c r="C52" t="s">
        <v>16</v>
      </c>
      <c r="D52" t="s">
        <v>98</v>
      </c>
    </row>
    <row r="53" spans="1:6" ht="15.6">
      <c r="A53" t="s">
        <v>99</v>
      </c>
      <c r="B53" s="118">
        <f>Loads!D45</f>
        <v>-3334.641047603935</v>
      </c>
      <c r="C53" t="s">
        <v>16</v>
      </c>
      <c r="D53" t="s">
        <v>100</v>
      </c>
    </row>
    <row r="54" spans="1:6" ht="15.6">
      <c r="A54" t="s">
        <v>101</v>
      </c>
      <c r="B54" s="153">
        <f>Shafts!B46</f>
        <v>0.7</v>
      </c>
      <c r="C54" t="s">
        <v>23</v>
      </c>
      <c r="E54" t="s">
        <v>13</v>
      </c>
      <c r="F54" t="s">
        <v>43</v>
      </c>
    </row>
    <row r="55" spans="1:6" ht="15.6">
      <c r="A55" t="s">
        <v>102</v>
      </c>
      <c r="B55" s="153">
        <f>Shafts!D46</f>
        <v>0.29400409089950397</v>
      </c>
      <c r="C55" t="s">
        <v>23</v>
      </c>
      <c r="E55" t="s">
        <v>13</v>
      </c>
      <c r="F55" t="s">
        <v>43</v>
      </c>
    </row>
    <row r="56" spans="1:6" ht="15.6">
      <c r="A56" t="s">
        <v>103</v>
      </c>
      <c r="B56" s="153">
        <f>Shafts!E46</f>
        <v>1.3886595575039846</v>
      </c>
      <c r="C56" t="s">
        <v>23</v>
      </c>
      <c r="E56" t="s">
        <v>13</v>
      </c>
      <c r="F56" t="s">
        <v>43</v>
      </c>
    </row>
    <row r="57" spans="1:6" ht="15.6">
      <c r="A57" t="s">
        <v>104</v>
      </c>
      <c r="B57" s="153">
        <f>Shafts!H46</f>
        <v>1.2919255597115107</v>
      </c>
      <c r="C57" t="s">
        <v>23</v>
      </c>
      <c r="E57" t="s">
        <v>13</v>
      </c>
      <c r="F57" t="s">
        <v>43</v>
      </c>
    </row>
    <row r="58" spans="1:6" ht="15.6">
      <c r="A58" t="s">
        <v>105</v>
      </c>
      <c r="B58" s="153">
        <f>Shafts!I46</f>
        <v>0.97873162978643702</v>
      </c>
      <c r="C58" t="s">
        <v>23</v>
      </c>
      <c r="E58" t="s">
        <v>13</v>
      </c>
      <c r="F58" t="s">
        <v>43</v>
      </c>
    </row>
    <row r="59" spans="1:6" ht="15.6">
      <c r="A59" t="s">
        <v>106</v>
      </c>
      <c r="B59" s="153">
        <f>Shafts!K46</f>
        <v>0.97873162978643702</v>
      </c>
      <c r="C59" t="s">
        <v>23</v>
      </c>
      <c r="E59" t="s">
        <v>13</v>
      </c>
      <c r="F59" t="s">
        <v>43</v>
      </c>
    </row>
    <row r="60" spans="1:6" ht="15.6">
      <c r="A60" t="s">
        <v>107</v>
      </c>
      <c r="B60" s="153">
        <f>Shafts!B25</f>
        <v>46.471087714198255</v>
      </c>
      <c r="C60" t="s">
        <v>11</v>
      </c>
      <c r="D60" t="s">
        <v>108</v>
      </c>
      <c r="E60" t="s">
        <v>13</v>
      </c>
      <c r="F60" t="s">
        <v>14</v>
      </c>
    </row>
    <row r="61" spans="1:6">
      <c r="A61" t="s">
        <v>109</v>
      </c>
      <c r="B61" s="153">
        <f>Loads!F22</f>
        <v>-251.5131919348247</v>
      </c>
      <c r="C61" t="s">
        <v>32</v>
      </c>
    </row>
    <row r="62" spans="1:6">
      <c r="A62" t="s">
        <v>110</v>
      </c>
      <c r="B62">
        <f>Loads!F43</f>
        <v>-2207.1374440521317</v>
      </c>
      <c r="C62" t="s">
        <v>32</v>
      </c>
    </row>
  </sheetData>
  <mergeCells count="4">
    <mergeCell ref="D14:D19"/>
    <mergeCell ref="D20:D25"/>
    <mergeCell ref="D26:D29"/>
    <mergeCell ref="D47:D50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DB2ED4-71FF-45D0-AD88-2727E3C3B7CC}">
  <sheetPr codeName="Sheet3"/>
  <dimension ref="A1:AJ54"/>
  <sheetViews>
    <sheetView topLeftCell="A3" zoomScale="85" zoomScaleNormal="85" workbookViewId="0">
      <selection activeCell="O25" sqref="O25"/>
    </sheetView>
  </sheetViews>
  <sheetFormatPr defaultRowHeight="14.45"/>
  <cols>
    <col min="1" max="1" width="17.5703125" customWidth="1"/>
    <col min="2" max="4" width="10.5703125" style="1" customWidth="1"/>
    <col min="5" max="5" width="14" style="1" customWidth="1"/>
    <col min="6" max="7" width="12.5703125" style="1" customWidth="1"/>
    <col min="8" max="8" width="12.42578125" style="1" customWidth="1"/>
    <col min="9" max="11" width="10.5703125" style="1" customWidth="1"/>
    <col min="12" max="12" width="11.42578125" customWidth="1"/>
    <col min="13" max="13" width="19.42578125" customWidth="1"/>
    <col min="16" max="16" width="13.5703125" customWidth="1"/>
    <col min="22" max="22" width="13.5703125" customWidth="1"/>
    <col min="31" max="31" width="15.85546875" style="79" customWidth="1"/>
    <col min="32" max="32" width="13.42578125" style="1" customWidth="1"/>
    <col min="34" max="34" width="21.140625" customWidth="1"/>
    <col min="35" max="35" width="39.140625" style="79" customWidth="1"/>
    <col min="36" max="36" width="11.42578125" style="79" bestFit="1" customWidth="1"/>
  </cols>
  <sheetData>
    <row r="1" spans="1:36">
      <c r="A1" t="s">
        <v>111</v>
      </c>
      <c r="B1" s="1" t="s">
        <v>112</v>
      </c>
      <c r="C1" s="1" t="s">
        <v>113</v>
      </c>
      <c r="D1" s="196" t="s">
        <v>114</v>
      </c>
      <c r="E1" s="1" t="s">
        <v>115</v>
      </c>
      <c r="F1" s="1" t="s">
        <v>116</v>
      </c>
      <c r="G1" s="1" t="s">
        <v>117</v>
      </c>
      <c r="H1" s="196" t="s">
        <v>118</v>
      </c>
      <c r="I1" s="1" t="s">
        <v>119</v>
      </c>
      <c r="J1" s="1" t="s">
        <v>120</v>
      </c>
      <c r="K1" s="1" t="s">
        <v>121</v>
      </c>
    </row>
    <row r="2" spans="1:36" ht="18">
      <c r="A2" s="42" t="s">
        <v>44</v>
      </c>
      <c r="D2" s="196"/>
      <c r="H2" s="196"/>
      <c r="AE2" s="79" t="s">
        <v>122</v>
      </c>
      <c r="AF2" s="1" t="s">
        <v>123</v>
      </c>
      <c r="AH2" t="s">
        <v>124</v>
      </c>
    </row>
    <row r="3" spans="1:36" ht="15.6">
      <c r="A3" t="s">
        <v>19</v>
      </c>
      <c r="B3" s="244">
        <f>'Input-Output'!$B37</f>
        <v>-49.548098811160472</v>
      </c>
      <c r="C3" s="244">
        <f>'Input-Output'!$B38</f>
        <v>-175.30469477857284</v>
      </c>
      <c r="D3" s="244">
        <f>'Input-Output'!$B39</f>
        <v>-49.548098811160486</v>
      </c>
      <c r="E3" s="244">
        <f>'Input-Output'!$B40</f>
        <v>5221.0065424545401</v>
      </c>
      <c r="F3" s="244">
        <f>'Input-Output'!$B41</f>
        <v>7983.4438665045609</v>
      </c>
      <c r="G3" s="244">
        <f>'Input-Output'!$B42</f>
        <v>16063.571699077122</v>
      </c>
      <c r="H3" s="244">
        <f>'Input-Output'!$B43</f>
        <v>4204.161068529228</v>
      </c>
      <c r="I3" s="244">
        <f>'Input-Output'!$B44</f>
        <v>-999.83326215561567</v>
      </c>
      <c r="J3" s="244">
        <f>'Input-Output'!$B45</f>
        <v>-3206.9707062077478</v>
      </c>
      <c r="K3" s="244">
        <f>'Input-Output'!$B46</f>
        <v>-999.83326215561556</v>
      </c>
      <c r="L3" t="s">
        <v>16</v>
      </c>
      <c r="AE3" s="79" t="s">
        <v>125</v>
      </c>
      <c r="AF3" s="1">
        <v>2</v>
      </c>
      <c r="AH3" t="s">
        <v>126</v>
      </c>
      <c r="AI3" s="86" t="s">
        <v>127</v>
      </c>
      <c r="AJ3" s="86"/>
    </row>
    <row r="4" spans="1:36" ht="15.6">
      <c r="A4" t="s">
        <v>15</v>
      </c>
      <c r="B4" s="1">
        <v>0</v>
      </c>
      <c r="C4" s="1">
        <v>0</v>
      </c>
      <c r="D4" s="196">
        <v>0</v>
      </c>
      <c r="E4" s="1">
        <v>0</v>
      </c>
      <c r="F4" s="1">
        <v>0</v>
      </c>
      <c r="G4" s="1">
        <v>0</v>
      </c>
      <c r="H4" s="196">
        <v>0</v>
      </c>
      <c r="I4" s="1">
        <v>0</v>
      </c>
      <c r="J4" s="1">
        <v>0</v>
      </c>
      <c r="K4" s="1">
        <v>0</v>
      </c>
      <c r="L4" t="s">
        <v>16</v>
      </c>
      <c r="S4" s="46"/>
      <c r="AE4" s="79" t="s">
        <v>128</v>
      </c>
      <c r="AF4" s="1">
        <v>1</v>
      </c>
      <c r="AH4" t="s">
        <v>129</v>
      </c>
      <c r="AI4" s="86" t="s">
        <v>130</v>
      </c>
      <c r="AJ4" s="86"/>
    </row>
    <row r="5" spans="1:36" ht="15.6">
      <c r="A5" t="s">
        <v>21</v>
      </c>
      <c r="B5" s="1">
        <v>0</v>
      </c>
      <c r="C5" s="1">
        <v>0</v>
      </c>
      <c r="D5" s="196">
        <v>0</v>
      </c>
      <c r="E5" s="1">
        <v>0</v>
      </c>
      <c r="F5" s="1">
        <v>0</v>
      </c>
      <c r="G5" s="1">
        <v>0</v>
      </c>
      <c r="H5" s="196">
        <v>0</v>
      </c>
      <c r="I5" s="1">
        <v>0</v>
      </c>
      <c r="J5" s="1">
        <v>0</v>
      </c>
      <c r="K5" s="1">
        <v>0</v>
      </c>
      <c r="L5" t="s">
        <v>16</v>
      </c>
      <c r="S5" s="46"/>
      <c r="AE5" s="79" t="s">
        <v>131</v>
      </c>
      <c r="AF5" s="1">
        <v>1</v>
      </c>
      <c r="AH5" t="s">
        <v>132</v>
      </c>
      <c r="AI5" s="86" t="s">
        <v>133</v>
      </c>
      <c r="AJ5" s="86"/>
    </row>
    <row r="6" spans="1:36" ht="15.6">
      <c r="A6" t="s">
        <v>20</v>
      </c>
      <c r="B6" s="244">
        <f>'Input-Output'!B51</f>
        <v>1260.5071492878112</v>
      </c>
      <c r="C6" s="244">
        <f>'Input-Output'!B51</f>
        <v>1260.5071492878112</v>
      </c>
      <c r="D6" s="196">
        <v>0</v>
      </c>
      <c r="E6" s="1">
        <v>0</v>
      </c>
      <c r="F6" s="244">
        <f>'Input-Output'!B52</f>
        <v>3860.3031446939217</v>
      </c>
      <c r="G6" s="244">
        <f>'Input-Output'!B52</f>
        <v>3860.3031446939217</v>
      </c>
      <c r="H6" s="196">
        <v>0</v>
      </c>
      <c r="I6" s="244">
        <f>K6</f>
        <v>-3334.641047603935</v>
      </c>
      <c r="J6" s="244">
        <f>'Input-Output'!B53</f>
        <v>-3334.641047603935</v>
      </c>
      <c r="K6" s="244">
        <f>'Input-Output'!B53</f>
        <v>-3334.641047603935</v>
      </c>
      <c r="L6" t="s">
        <v>16</v>
      </c>
      <c r="S6" s="46"/>
      <c r="AE6" s="79" t="s">
        <v>134</v>
      </c>
      <c r="AF6" s="1">
        <v>38</v>
      </c>
      <c r="AH6" t="s">
        <v>135</v>
      </c>
      <c r="AI6" s="86" t="s">
        <v>136</v>
      </c>
      <c r="AJ6" s="86"/>
    </row>
    <row r="7" spans="1:36">
      <c r="D7" s="196"/>
      <c r="H7" s="196"/>
      <c r="S7" s="46"/>
      <c r="U7" t="s">
        <v>137</v>
      </c>
      <c r="AH7" t="s">
        <v>138</v>
      </c>
      <c r="AI7" s="86" t="s">
        <v>139</v>
      </c>
      <c r="AJ7" s="86"/>
    </row>
    <row r="8" spans="1:36" ht="18">
      <c r="A8" s="42" t="s">
        <v>140</v>
      </c>
      <c r="D8" s="196"/>
      <c r="H8" s="196"/>
      <c r="S8" s="46"/>
      <c r="U8" t="s">
        <v>137</v>
      </c>
      <c r="AH8" t="s">
        <v>141</v>
      </c>
      <c r="AI8" s="86" t="s">
        <v>142</v>
      </c>
      <c r="AJ8" s="86"/>
    </row>
    <row r="9" spans="1:36">
      <c r="A9" t="s">
        <v>143</v>
      </c>
      <c r="D9" s="196"/>
      <c r="H9" s="196"/>
      <c r="AC9" s="79"/>
      <c r="AD9" s="1"/>
      <c r="AE9"/>
      <c r="AF9"/>
      <c r="AH9" t="s">
        <v>144</v>
      </c>
      <c r="AI9" s="86" t="s">
        <v>145</v>
      </c>
      <c r="AJ9" s="86"/>
    </row>
    <row r="10" spans="1:36" ht="15.6">
      <c r="A10" t="s">
        <v>2</v>
      </c>
      <c r="B10" s="88">
        <f>VLOOKUP($AF$6,MIsc_Tables!Y5:AD47,4)</f>
        <v>147</v>
      </c>
      <c r="C10" s="194">
        <f>B10</f>
        <v>147</v>
      </c>
      <c r="D10" s="197">
        <f t="shared" ref="D10:K10" si="0">C10</f>
        <v>147</v>
      </c>
      <c r="E10" s="192">
        <f t="shared" si="0"/>
        <v>147</v>
      </c>
      <c r="F10" s="88">
        <f t="shared" si="0"/>
        <v>147</v>
      </c>
      <c r="G10" s="194">
        <f t="shared" si="0"/>
        <v>147</v>
      </c>
      <c r="H10" s="197">
        <f t="shared" si="0"/>
        <v>147</v>
      </c>
      <c r="I10" s="192">
        <f t="shared" si="0"/>
        <v>147</v>
      </c>
      <c r="J10" s="88">
        <f t="shared" si="0"/>
        <v>147</v>
      </c>
      <c r="K10" s="88">
        <f t="shared" si="0"/>
        <v>147</v>
      </c>
      <c r="L10" t="s">
        <v>3</v>
      </c>
      <c r="AH10" t="s">
        <v>146</v>
      </c>
      <c r="AI10" s="86" t="s">
        <v>147</v>
      </c>
      <c r="AJ10" s="86"/>
    </row>
    <row r="11" spans="1:36">
      <c r="B11" s="89">
        <f>B10*1000</f>
        <v>147000</v>
      </c>
      <c r="C11" s="89">
        <f>B11</f>
        <v>147000</v>
      </c>
      <c r="D11" s="198">
        <f t="shared" ref="D11:K11" si="1">C11</f>
        <v>147000</v>
      </c>
      <c r="E11" s="89">
        <f t="shared" si="1"/>
        <v>147000</v>
      </c>
      <c r="F11" s="89">
        <f t="shared" si="1"/>
        <v>147000</v>
      </c>
      <c r="G11" s="89">
        <f t="shared" si="1"/>
        <v>147000</v>
      </c>
      <c r="H11" s="198">
        <f t="shared" si="1"/>
        <v>147000</v>
      </c>
      <c r="I11" s="89">
        <f t="shared" si="1"/>
        <v>147000</v>
      </c>
      <c r="J11" s="89">
        <f t="shared" si="1"/>
        <v>147000</v>
      </c>
      <c r="K11" s="89">
        <f t="shared" si="1"/>
        <v>147000</v>
      </c>
      <c r="L11" t="s">
        <v>148</v>
      </c>
      <c r="V11" t="s">
        <v>149</v>
      </c>
      <c r="AH11" t="s">
        <v>150</v>
      </c>
      <c r="AI11" s="86" t="s">
        <v>151</v>
      </c>
      <c r="AJ11" s="86"/>
    </row>
    <row r="12" spans="1:36" ht="15.6">
      <c r="A12" t="s">
        <v>4</v>
      </c>
      <c r="B12" s="88">
        <f>IF(ISBLANK(M12),VLOOKUP($AF$6,MIsc_Tables!Y5:AD47,5),M12)</f>
        <v>72</v>
      </c>
      <c r="C12" s="194">
        <f>B12</f>
        <v>72</v>
      </c>
      <c r="D12" s="197">
        <f t="shared" ref="D12:K12" si="2">C12</f>
        <v>72</v>
      </c>
      <c r="E12" s="192">
        <f t="shared" si="2"/>
        <v>72</v>
      </c>
      <c r="F12" s="88">
        <f t="shared" si="2"/>
        <v>72</v>
      </c>
      <c r="G12" s="194">
        <f t="shared" si="2"/>
        <v>72</v>
      </c>
      <c r="H12" s="197">
        <f t="shared" si="2"/>
        <v>72</v>
      </c>
      <c r="I12" s="192">
        <f t="shared" si="2"/>
        <v>72</v>
      </c>
      <c r="J12" s="88">
        <f t="shared" si="2"/>
        <v>72</v>
      </c>
      <c r="K12" s="88">
        <f t="shared" si="2"/>
        <v>72</v>
      </c>
      <c r="L12" t="s">
        <v>3</v>
      </c>
      <c r="V12" s="43" t="s">
        <v>152</v>
      </c>
      <c r="W12" s="82" t="s">
        <v>153</v>
      </c>
      <c r="AH12" t="s">
        <v>154</v>
      </c>
      <c r="AI12" s="86" t="s">
        <v>155</v>
      </c>
      <c r="AJ12" s="86"/>
    </row>
    <row r="13" spans="1:36">
      <c r="B13" s="89">
        <f>B12*1000</f>
        <v>72000</v>
      </c>
      <c r="C13" s="89">
        <f>B13</f>
        <v>72000</v>
      </c>
      <c r="D13" s="198">
        <f t="shared" ref="D13:K13" si="3">C13</f>
        <v>72000</v>
      </c>
      <c r="E13" s="89">
        <f t="shared" si="3"/>
        <v>72000</v>
      </c>
      <c r="F13" s="89">
        <f t="shared" si="3"/>
        <v>72000</v>
      </c>
      <c r="G13" s="89">
        <f t="shared" si="3"/>
        <v>72000</v>
      </c>
      <c r="H13" s="198">
        <f t="shared" si="3"/>
        <v>72000</v>
      </c>
      <c r="I13" s="89">
        <f t="shared" si="3"/>
        <v>72000</v>
      </c>
      <c r="J13" s="89">
        <f t="shared" si="3"/>
        <v>72000</v>
      </c>
      <c r="K13" s="89">
        <f t="shared" si="3"/>
        <v>72000</v>
      </c>
      <c r="L13" t="s">
        <v>148</v>
      </c>
      <c r="V13" s="45" t="s">
        <v>156</v>
      </c>
      <c r="AH13" t="s">
        <v>157</v>
      </c>
      <c r="AI13" s="86" t="s">
        <v>158</v>
      </c>
      <c r="AJ13" s="86"/>
    </row>
    <row r="14" spans="1:36">
      <c r="D14" s="196"/>
      <c r="H14" s="196"/>
      <c r="V14" s="89" t="s">
        <v>159</v>
      </c>
      <c r="AH14" t="s">
        <v>160</v>
      </c>
      <c r="AI14" s="86" t="s">
        <v>161</v>
      </c>
      <c r="AJ14" s="86"/>
    </row>
    <row r="15" spans="1:36" ht="18">
      <c r="A15" s="42" t="s">
        <v>162</v>
      </c>
      <c r="D15" s="196"/>
      <c r="H15" s="196"/>
      <c r="V15" s="83" t="s">
        <v>163</v>
      </c>
      <c r="AH15" t="s">
        <v>164</v>
      </c>
      <c r="AI15" s="86" t="s">
        <v>165</v>
      </c>
      <c r="AJ15" s="86"/>
    </row>
    <row r="16" spans="1:36">
      <c r="D16" s="196"/>
      <c r="H16" s="196"/>
      <c r="V16" s="87" t="s">
        <v>166</v>
      </c>
      <c r="AH16" t="s">
        <v>167</v>
      </c>
      <c r="AI16" s="86" t="s">
        <v>168</v>
      </c>
      <c r="AJ16" s="86"/>
    </row>
    <row r="17" spans="1:36" ht="15.6">
      <c r="A17" t="s">
        <v>169</v>
      </c>
      <c r="B17" s="90">
        <v>0.56999999999999995</v>
      </c>
      <c r="C17" s="90">
        <v>0.74</v>
      </c>
      <c r="D17" s="199">
        <v>0.28999999999999998</v>
      </c>
      <c r="E17" s="90">
        <v>1.46</v>
      </c>
      <c r="F17" s="90">
        <v>1.9</v>
      </c>
      <c r="G17" s="90">
        <v>2.23</v>
      </c>
      <c r="H17" s="199">
        <v>1.29</v>
      </c>
      <c r="I17" s="90">
        <v>0.98</v>
      </c>
      <c r="J17" s="90">
        <v>1.41</v>
      </c>
      <c r="K17" s="90">
        <v>0.98</v>
      </c>
      <c r="L17" t="s">
        <v>23</v>
      </c>
      <c r="M17" t="s">
        <v>170</v>
      </c>
      <c r="AH17" t="s">
        <v>171</v>
      </c>
      <c r="AI17" s="86" t="s">
        <v>172</v>
      </c>
      <c r="AJ17" s="86"/>
    </row>
    <row r="18" spans="1:36" ht="15.6">
      <c r="A18" t="s">
        <v>173</v>
      </c>
      <c r="B18" s="91">
        <f>IF($B$10&lt;=200, 0.5*$B$10,100)</f>
        <v>73.5</v>
      </c>
      <c r="C18" s="91">
        <f t="shared" ref="C18:K18" si="4">$B$18</f>
        <v>73.5</v>
      </c>
      <c r="D18" s="200">
        <f t="shared" si="4"/>
        <v>73.5</v>
      </c>
      <c r="E18" s="91">
        <f t="shared" si="4"/>
        <v>73.5</v>
      </c>
      <c r="F18" s="91">
        <f t="shared" si="4"/>
        <v>73.5</v>
      </c>
      <c r="G18" s="91">
        <f t="shared" si="4"/>
        <v>73.5</v>
      </c>
      <c r="H18" s="200">
        <f t="shared" si="4"/>
        <v>73.5</v>
      </c>
      <c r="I18" s="91">
        <f t="shared" si="4"/>
        <v>73.5</v>
      </c>
      <c r="J18" s="91">
        <f t="shared" si="4"/>
        <v>73.5</v>
      </c>
      <c r="K18" s="91">
        <f t="shared" si="4"/>
        <v>73.5</v>
      </c>
      <c r="L18" t="s">
        <v>3</v>
      </c>
      <c r="AH18" t="s">
        <v>174</v>
      </c>
      <c r="AI18" s="86" t="s">
        <v>175</v>
      </c>
      <c r="AJ18" s="86"/>
    </row>
    <row r="19" spans="1:36" ht="18">
      <c r="B19" s="89">
        <f t="shared" ref="B19:K19" si="5">B18*1000</f>
        <v>73500</v>
      </c>
      <c r="C19" s="89">
        <f t="shared" si="5"/>
        <v>73500</v>
      </c>
      <c r="D19" s="198">
        <f t="shared" si="5"/>
        <v>73500</v>
      </c>
      <c r="E19" s="89">
        <f t="shared" si="5"/>
        <v>73500</v>
      </c>
      <c r="F19" s="89">
        <f t="shared" si="5"/>
        <v>73500</v>
      </c>
      <c r="G19" s="89">
        <f t="shared" si="5"/>
        <v>73500</v>
      </c>
      <c r="H19" s="198">
        <f t="shared" si="5"/>
        <v>73500</v>
      </c>
      <c r="I19" s="89">
        <f t="shared" si="5"/>
        <v>73500</v>
      </c>
      <c r="J19" s="89">
        <f t="shared" si="5"/>
        <v>73500</v>
      </c>
      <c r="K19" s="89">
        <f t="shared" si="5"/>
        <v>73500</v>
      </c>
      <c r="L19" t="s">
        <v>148</v>
      </c>
      <c r="P19" s="42"/>
      <c r="AH19" t="s">
        <v>176</v>
      </c>
      <c r="AI19" s="86" t="s">
        <v>177</v>
      </c>
      <c r="AJ19" s="86"/>
    </row>
    <row r="20" spans="1:36" ht="15.6">
      <c r="A20" t="s">
        <v>178</v>
      </c>
      <c r="B20" s="100">
        <f>VLOOKUP($AF$3,MIsc_Tables!U4:X7,3)*Shafts!B10^(VLOOKUP(Shafts!$AF$3,MIsc_Tables!U4:X7,4))</f>
        <v>0.67720808442942892</v>
      </c>
      <c r="C20" s="195">
        <f t="shared" ref="C20:K20" si="6">$B$20</f>
        <v>0.67720808442942892</v>
      </c>
      <c r="D20" s="201">
        <f t="shared" si="6"/>
        <v>0.67720808442942892</v>
      </c>
      <c r="E20" s="193">
        <f t="shared" si="6"/>
        <v>0.67720808442942892</v>
      </c>
      <c r="F20" s="100">
        <f t="shared" si="6"/>
        <v>0.67720808442942892</v>
      </c>
      <c r="G20" s="195">
        <f t="shared" si="6"/>
        <v>0.67720808442942892</v>
      </c>
      <c r="H20" s="201">
        <f t="shared" si="6"/>
        <v>0.67720808442942892</v>
      </c>
      <c r="I20" s="193">
        <f t="shared" si="6"/>
        <v>0.67720808442942892</v>
      </c>
      <c r="J20" s="100">
        <f t="shared" si="6"/>
        <v>0.67720808442942892</v>
      </c>
      <c r="K20" s="100">
        <f t="shared" si="6"/>
        <v>0.67720808442942892</v>
      </c>
      <c r="L20" t="s">
        <v>179</v>
      </c>
      <c r="AH20" t="s">
        <v>180</v>
      </c>
      <c r="AI20" s="86" t="s">
        <v>181</v>
      </c>
      <c r="AJ20" s="86"/>
    </row>
    <row r="21" spans="1:36" ht="15.6">
      <c r="A21" t="s">
        <v>182</v>
      </c>
      <c r="B21" s="99">
        <f>IF(B17&gt;2, 0.91*B17^(-0.157), (B17/0.3)^(-0.107))</f>
        <v>0.93362691812002441</v>
      </c>
      <c r="C21" s="99">
        <f>IF(C17&gt;2, 0.91*C17^(-0.157), (C17/0.3)^(-0.107))</f>
        <v>0.90791288634234624</v>
      </c>
      <c r="D21" s="202">
        <f t="shared" ref="D21:K21" si="7">IF(D17&gt;2, 0.91*D17^(-0.157), (D17/0.3)^(-0.107))</f>
        <v>1.0036340532467556</v>
      </c>
      <c r="E21" s="99">
        <f t="shared" si="7"/>
        <v>0.84424057065101776</v>
      </c>
      <c r="F21" s="99">
        <f t="shared" si="7"/>
        <v>0.8207773041122276</v>
      </c>
      <c r="G21" s="99">
        <f t="shared" si="7"/>
        <v>0.80233830900033432</v>
      </c>
      <c r="H21" s="202">
        <f t="shared" si="7"/>
        <v>0.85549775707104037</v>
      </c>
      <c r="I21" s="99">
        <f t="shared" si="7"/>
        <v>0.8810301771156166</v>
      </c>
      <c r="J21" s="99">
        <f t="shared" si="7"/>
        <v>0.84739428206666811</v>
      </c>
      <c r="K21" s="99">
        <f t="shared" si="7"/>
        <v>0.8810301771156166</v>
      </c>
      <c r="L21" t="s">
        <v>179</v>
      </c>
      <c r="AH21" t="s">
        <v>183</v>
      </c>
      <c r="AI21" s="86" t="s">
        <v>184</v>
      </c>
      <c r="AJ21" s="86"/>
    </row>
    <row r="22" spans="1:36" ht="15.6">
      <c r="A22" t="s">
        <v>185</v>
      </c>
      <c r="B22" s="88">
        <f>VLOOKUP($AF$5,MIsc_Tables!$U$19:$W$22,3)</f>
        <v>1</v>
      </c>
      <c r="C22" s="194">
        <f>VLOOKUP($AF$5,MIsc_Tables!$U$19:$W$22,3)</f>
        <v>1</v>
      </c>
      <c r="D22" s="197">
        <f>VLOOKUP($AF$5,MIsc_Tables!$U$19:$W$22,3)</f>
        <v>1</v>
      </c>
      <c r="E22" s="192">
        <f>VLOOKUP($AF$5,MIsc_Tables!$U$19:$W$22,3)</f>
        <v>1</v>
      </c>
      <c r="F22" s="88">
        <f>VLOOKUP($AF$5,MIsc_Tables!$U$19:$W$22,3)</f>
        <v>1</v>
      </c>
      <c r="G22" s="194">
        <f>VLOOKUP($AF$5,MIsc_Tables!$U$19:$W$22,3)</f>
        <v>1</v>
      </c>
      <c r="H22" s="197">
        <f>VLOOKUP($AF$5,MIsc_Tables!$U$19:$W$22,3)</f>
        <v>1</v>
      </c>
      <c r="I22" s="192">
        <f>VLOOKUP($AF$5,MIsc_Tables!$U$19:$W$22,3)</f>
        <v>1</v>
      </c>
      <c r="J22" s="88">
        <f>VLOOKUP($AF$5,MIsc_Tables!$U$19:$W$22,3)</f>
        <v>1</v>
      </c>
      <c r="K22" s="88">
        <f>VLOOKUP($AF$5,MIsc_Tables!$U$19:$W$22,3)</f>
        <v>1</v>
      </c>
      <c r="L22" t="s">
        <v>179</v>
      </c>
      <c r="AH22" t="s">
        <v>186</v>
      </c>
      <c r="AI22" s="86" t="s">
        <v>187</v>
      </c>
      <c r="AJ22" s="86"/>
    </row>
    <row r="23" spans="1:36" ht="15.6">
      <c r="A23" t="s">
        <v>188</v>
      </c>
      <c r="B23" s="90">
        <v>1</v>
      </c>
      <c r="C23" s="90">
        <v>1</v>
      </c>
      <c r="D23" s="199">
        <v>1</v>
      </c>
      <c r="E23" s="90">
        <v>1</v>
      </c>
      <c r="F23" s="90">
        <v>1</v>
      </c>
      <c r="G23" s="90">
        <v>1</v>
      </c>
      <c r="H23" s="199">
        <v>1</v>
      </c>
      <c r="I23" s="90">
        <v>1</v>
      </c>
      <c r="J23" s="90">
        <v>1</v>
      </c>
      <c r="K23" s="90">
        <v>1</v>
      </c>
      <c r="L23" t="s">
        <v>179</v>
      </c>
      <c r="AH23" t="s">
        <v>189</v>
      </c>
      <c r="AI23" s="86" t="s">
        <v>190</v>
      </c>
      <c r="AJ23" s="86"/>
    </row>
    <row r="24" spans="1:36" ht="15.6">
      <c r="A24" t="s">
        <v>191</v>
      </c>
      <c r="B24" s="88">
        <f>VLOOKUP($AF$4,MIsc_Tables!$U$11:$W$16,3)</f>
        <v>1</v>
      </c>
      <c r="C24" s="194">
        <f>VLOOKUP($AF$4,MIsc_Tables!$U$11:$W$16,3)</f>
        <v>1</v>
      </c>
      <c r="D24" s="197">
        <f>VLOOKUP($AF$4,MIsc_Tables!$U$11:$W$16,3)</f>
        <v>1</v>
      </c>
      <c r="E24" s="192">
        <f>VLOOKUP($AF$4,MIsc_Tables!$U$11:$W$16,3)</f>
        <v>1</v>
      </c>
      <c r="F24" s="88">
        <f>VLOOKUP($AF$4,MIsc_Tables!$U$11:$W$16,3)</f>
        <v>1</v>
      </c>
      <c r="G24" s="194">
        <f>VLOOKUP($AF$4,MIsc_Tables!$U$11:$W$16,3)</f>
        <v>1</v>
      </c>
      <c r="H24" s="197">
        <f>VLOOKUP($AF$4,MIsc_Tables!$U$11:$W$16,3)</f>
        <v>1</v>
      </c>
      <c r="I24" s="192">
        <f>VLOOKUP($AF$4,MIsc_Tables!$U$11:$W$16,3)</f>
        <v>1</v>
      </c>
      <c r="J24" s="88">
        <f>VLOOKUP($AF$4,MIsc_Tables!$U$11:$W$16,3)</f>
        <v>1</v>
      </c>
      <c r="K24" s="88">
        <f>VLOOKUP($AF$4,MIsc_Tables!$U$11:$W$16,3)</f>
        <v>1</v>
      </c>
      <c r="L24" t="s">
        <v>179</v>
      </c>
      <c r="AH24" t="s">
        <v>192</v>
      </c>
      <c r="AI24" s="86" t="s">
        <v>193</v>
      </c>
      <c r="AJ24" s="86"/>
    </row>
    <row r="25" spans="1:36" ht="15.6">
      <c r="A25" t="s">
        <v>107</v>
      </c>
      <c r="B25" s="92">
        <f>B18*B20*B21*B22*B23*B24</f>
        <v>46.471087714198255</v>
      </c>
      <c r="C25" s="92">
        <f t="shared" ref="C25:K25" si="8">$B$25</f>
        <v>46.471087714198255</v>
      </c>
      <c r="D25" s="203">
        <f t="shared" si="8"/>
        <v>46.471087714198255</v>
      </c>
      <c r="E25" s="92">
        <f t="shared" si="8"/>
        <v>46.471087714198255</v>
      </c>
      <c r="F25" s="92">
        <f t="shared" si="8"/>
        <v>46.471087714198255</v>
      </c>
      <c r="G25" s="92">
        <f t="shared" si="8"/>
        <v>46.471087714198255</v>
      </c>
      <c r="H25" s="203">
        <f t="shared" si="8"/>
        <v>46.471087714198255</v>
      </c>
      <c r="I25" s="92">
        <f t="shared" si="8"/>
        <v>46.471087714198255</v>
      </c>
      <c r="J25" s="92">
        <f t="shared" si="8"/>
        <v>46.471087714198255</v>
      </c>
      <c r="K25" s="92">
        <f t="shared" si="8"/>
        <v>46.471087714198255</v>
      </c>
      <c r="L25" t="s">
        <v>3</v>
      </c>
      <c r="AH25" t="s">
        <v>194</v>
      </c>
      <c r="AI25" s="86" t="s">
        <v>195</v>
      </c>
      <c r="AJ25" s="86"/>
    </row>
    <row r="26" spans="1:36">
      <c r="B26" s="132">
        <f>IF(ISBLANK(M26),B25*1000,M26)</f>
        <v>46471.087714198256</v>
      </c>
      <c r="C26" s="132">
        <f t="shared" ref="C26:K26" si="9">$B$26</f>
        <v>46471.087714198256</v>
      </c>
      <c r="D26" s="204">
        <f t="shared" si="9"/>
        <v>46471.087714198256</v>
      </c>
      <c r="E26" s="132">
        <f t="shared" si="9"/>
        <v>46471.087714198256</v>
      </c>
      <c r="F26" s="132">
        <f t="shared" si="9"/>
        <v>46471.087714198256</v>
      </c>
      <c r="G26" s="132">
        <f t="shared" si="9"/>
        <v>46471.087714198256</v>
      </c>
      <c r="H26" s="204">
        <f t="shared" si="9"/>
        <v>46471.087714198256</v>
      </c>
      <c r="I26" s="132">
        <f t="shared" si="9"/>
        <v>46471.087714198256</v>
      </c>
      <c r="J26" s="132">
        <f t="shared" si="9"/>
        <v>46471.087714198256</v>
      </c>
      <c r="K26" s="132">
        <f t="shared" si="9"/>
        <v>46471.087714198256</v>
      </c>
      <c r="L26" t="s">
        <v>148</v>
      </c>
      <c r="AH26" t="s">
        <v>196</v>
      </c>
      <c r="AI26" s="86" t="s">
        <v>197</v>
      </c>
      <c r="AJ26" s="86"/>
    </row>
    <row r="27" spans="1:36">
      <c r="D27" s="196"/>
      <c r="H27" s="196"/>
      <c r="AH27" t="s">
        <v>198</v>
      </c>
      <c r="AI27" s="86" t="s">
        <v>199</v>
      </c>
      <c r="AJ27" s="86"/>
    </row>
    <row r="28" spans="1:36" ht="18">
      <c r="A28" s="42" t="s">
        <v>200</v>
      </c>
      <c r="D28" s="196"/>
      <c r="H28" s="196"/>
      <c r="AH28" t="s">
        <v>201</v>
      </c>
      <c r="AI28" s="86" t="s">
        <v>202</v>
      </c>
      <c r="AJ28" s="86"/>
    </row>
    <row r="29" spans="1:36">
      <c r="A29" t="s">
        <v>203</v>
      </c>
      <c r="B29" s="92">
        <f t="shared" ref="B29:K29" si="10">SQRT(4*(B41*B3)^2+3*(B42*B5)^2)</f>
        <v>154.59006829082068</v>
      </c>
      <c r="C29" s="92">
        <f t="shared" si="10"/>
        <v>670.36515283326253</v>
      </c>
      <c r="D29" s="203">
        <f t="shared" si="10"/>
        <v>154.59006829082071</v>
      </c>
      <c r="E29" s="92">
        <f t="shared" si="10"/>
        <v>16289.540412458166</v>
      </c>
      <c r="F29" s="92">
        <f t="shared" si="10"/>
        <v>30528.689345513441</v>
      </c>
      <c r="G29" s="92">
        <f t="shared" si="10"/>
        <v>61427.09817727092</v>
      </c>
      <c r="H29" s="203">
        <f t="shared" si="10"/>
        <v>13116.982533811191</v>
      </c>
      <c r="I29" s="92">
        <f t="shared" si="10"/>
        <v>3119.4797779255209</v>
      </c>
      <c r="J29" s="92">
        <f t="shared" si="10"/>
        <v>12263.455980538429</v>
      </c>
      <c r="K29" s="92">
        <f t="shared" si="10"/>
        <v>3119.4797779255205</v>
      </c>
      <c r="AH29" t="s">
        <v>204</v>
      </c>
      <c r="AI29" s="86" t="s">
        <v>205</v>
      </c>
      <c r="AJ29" s="86"/>
    </row>
    <row r="30" spans="1:36">
      <c r="A30" t="s">
        <v>206</v>
      </c>
      <c r="B30" s="92">
        <f t="shared" ref="B30:K30" si="11">SQRT(4*(B41*B4)^2+3*(B42*B6)^2)</f>
        <v>3089.31633260647</v>
      </c>
      <c r="C30" s="92">
        <f t="shared" si="11"/>
        <v>5807.4780528149904</v>
      </c>
      <c r="D30" s="203">
        <f t="shared" si="11"/>
        <v>0</v>
      </c>
      <c r="E30" s="92">
        <f t="shared" si="11"/>
        <v>0</v>
      </c>
      <c r="F30" s="92">
        <f t="shared" si="11"/>
        <v>17785.401536745903</v>
      </c>
      <c r="G30" s="92">
        <f t="shared" si="11"/>
        <v>17785.401536745903</v>
      </c>
      <c r="H30" s="203">
        <f t="shared" si="11"/>
        <v>0</v>
      </c>
      <c r="I30" s="92">
        <f t="shared" si="11"/>
        <v>8172.7113230284331</v>
      </c>
      <c r="J30" s="92">
        <f t="shared" si="11"/>
        <v>15363.542133749561</v>
      </c>
      <c r="K30" s="92">
        <f t="shared" si="11"/>
        <v>8172.7113230284331</v>
      </c>
      <c r="AH30" t="s">
        <v>207</v>
      </c>
      <c r="AI30" s="86" t="s">
        <v>208</v>
      </c>
      <c r="AJ30" s="86"/>
    </row>
    <row r="31" spans="1:36">
      <c r="D31" s="196"/>
      <c r="H31" s="196"/>
      <c r="AH31" t="s">
        <v>209</v>
      </c>
      <c r="AI31" s="86" t="s">
        <v>210</v>
      </c>
      <c r="AJ31" s="86"/>
    </row>
    <row r="32" spans="1:36" ht="18">
      <c r="A32" s="42" t="s">
        <v>211</v>
      </c>
      <c r="D32" s="196"/>
      <c r="H32" s="196"/>
      <c r="AH32" t="s">
        <v>212</v>
      </c>
      <c r="AI32" s="86" t="s">
        <v>213</v>
      </c>
      <c r="AJ32" s="86"/>
    </row>
    <row r="33" spans="1:36">
      <c r="A33" t="s">
        <v>214</v>
      </c>
      <c r="B33" s="90">
        <v>1.5</v>
      </c>
      <c r="C33" s="90">
        <v>1.5</v>
      </c>
      <c r="D33" s="199">
        <v>1.5</v>
      </c>
      <c r="E33" s="90">
        <v>1.5</v>
      </c>
      <c r="F33" s="90">
        <v>1.5</v>
      </c>
      <c r="G33" s="90">
        <v>1.5</v>
      </c>
      <c r="H33" s="199">
        <v>1.5</v>
      </c>
      <c r="I33" s="90">
        <v>1.5</v>
      </c>
      <c r="J33" s="90">
        <v>1.5</v>
      </c>
      <c r="K33" s="90">
        <v>1.5</v>
      </c>
      <c r="AH33" t="s">
        <v>215</v>
      </c>
      <c r="AI33" s="86" t="s">
        <v>216</v>
      </c>
      <c r="AJ33" s="86"/>
    </row>
    <row r="34" spans="1:36">
      <c r="A34" t="s">
        <v>22</v>
      </c>
      <c r="B34" s="266">
        <f>IF(ISBLANK(B42),((16*B21/PI())*(B17/B14+B18/#REF!))^(1/3),B42)</f>
        <v>1.415</v>
      </c>
      <c r="C34" s="266">
        <f>IF(ISBLANK(C42),((16*C21/PI())*(C17/C14+C18/#REF!))^(1/3),C42)</f>
        <v>2.66</v>
      </c>
      <c r="D34" s="267">
        <f>IF(ISBLANK(D42),((16*D21/PI())*(D17/D14+D18/#REF!))^(1/3),D42)</f>
        <v>1.415</v>
      </c>
      <c r="E34" s="267">
        <f>IF(ISBLANK(E42),((16*E21/PI())*(E17/E14+E18/#REF!))^(1/3),E42)</f>
        <v>1.415</v>
      </c>
      <c r="F34" s="267">
        <f>IF(ISBLANK(F42),((16*F21/PI())*(F17/F14+F18/#REF!))^(1/3),F42)</f>
        <v>2.66</v>
      </c>
      <c r="G34" s="267">
        <f>IF(ISBLANK(G42),((16*G21/PI())*(G17/G14+G18/#REF!))^(1/3),G42)</f>
        <v>2.66</v>
      </c>
      <c r="H34" s="267">
        <f>IF(ISBLANK(H42),((16*H21/PI())*(H17/H14+H18/#REF!))^(1/3),H42)</f>
        <v>1.415</v>
      </c>
      <c r="I34" s="267">
        <f>IF(ISBLANK(I42),((16*I21/PI())*(I17/I14+I18/#REF!))^(1/3),I42)</f>
        <v>1.415</v>
      </c>
      <c r="J34" s="267">
        <f>IF(ISBLANK(J42),((16*J21/PI())*(J17/J14+J18/#REF!))^(1/3),J42)</f>
        <v>2.66</v>
      </c>
      <c r="K34" s="267">
        <f>IF(ISBLANK(K42),((16*K21/PI())*(K17/K14+K18/#REF!))^(1/3),K42)</f>
        <v>1.415</v>
      </c>
      <c r="L34" t="s">
        <v>23</v>
      </c>
      <c r="AH34" t="s">
        <v>217</v>
      </c>
      <c r="AI34" s="86" t="s">
        <v>218</v>
      </c>
      <c r="AJ34" s="86"/>
    </row>
    <row r="35" spans="1:36">
      <c r="B35"/>
      <c r="D35" s="196"/>
      <c r="H35" s="196"/>
      <c r="AH35" t="s">
        <v>219</v>
      </c>
      <c r="AI35" s="86" t="s">
        <v>220</v>
      </c>
      <c r="AJ35" s="86"/>
    </row>
    <row r="36" spans="1:36" ht="18">
      <c r="A36" s="42" t="s">
        <v>221</v>
      </c>
      <c r="B36"/>
      <c r="C36"/>
      <c r="D36" s="196"/>
      <c r="H36" s="196"/>
      <c r="AH36" t="s">
        <v>222</v>
      </c>
      <c r="AI36" s="86" t="s">
        <v>223</v>
      </c>
      <c r="AJ36" s="86"/>
    </row>
    <row r="37" spans="1:36" ht="15.6">
      <c r="A37" t="s">
        <v>224</v>
      </c>
      <c r="B37" s="43">
        <v>1.7</v>
      </c>
      <c r="C37" s="43">
        <v>2.14</v>
      </c>
      <c r="D37" s="43">
        <v>1.7</v>
      </c>
      <c r="E37" s="43">
        <v>1.7</v>
      </c>
      <c r="F37" s="43">
        <v>2.14</v>
      </c>
      <c r="G37" s="43">
        <v>2.14</v>
      </c>
      <c r="H37" s="43">
        <v>1.7</v>
      </c>
      <c r="I37" s="43">
        <v>1.7</v>
      </c>
      <c r="J37" s="43">
        <v>2.14</v>
      </c>
      <c r="K37" s="43">
        <v>1.7</v>
      </c>
      <c r="L37" t="s">
        <v>179</v>
      </c>
      <c r="AH37" t="s">
        <v>225</v>
      </c>
      <c r="AI37" s="86" t="s">
        <v>226</v>
      </c>
      <c r="AJ37" s="86"/>
    </row>
    <row r="38" spans="1:36" ht="15.6">
      <c r="A38" t="s">
        <v>227</v>
      </c>
      <c r="B38" s="43">
        <v>1.5</v>
      </c>
      <c r="C38" s="43">
        <v>3</v>
      </c>
      <c r="D38" s="43">
        <v>1.5</v>
      </c>
      <c r="E38" s="43">
        <v>1.5</v>
      </c>
      <c r="F38" s="43">
        <v>3</v>
      </c>
      <c r="G38" s="43">
        <v>3</v>
      </c>
      <c r="H38" s="43">
        <v>1.5</v>
      </c>
      <c r="I38" s="43">
        <v>1.5</v>
      </c>
      <c r="J38" s="43">
        <v>3</v>
      </c>
      <c r="K38" s="43">
        <v>1.5</v>
      </c>
      <c r="L38" t="s">
        <v>179</v>
      </c>
      <c r="AH38" t="s">
        <v>228</v>
      </c>
      <c r="AI38" s="86" t="s">
        <v>229</v>
      </c>
      <c r="AJ38" s="86"/>
    </row>
    <row r="39" spans="1:36">
      <c r="A39" t="s">
        <v>230</v>
      </c>
      <c r="B39" s="44">
        <v>0.8</v>
      </c>
      <c r="C39" s="45">
        <f t="shared" ref="C39:K39" si="12">$B$39</f>
        <v>0.8</v>
      </c>
      <c r="D39" s="45">
        <f t="shared" si="12"/>
        <v>0.8</v>
      </c>
      <c r="E39" s="45">
        <f t="shared" si="12"/>
        <v>0.8</v>
      </c>
      <c r="F39" s="45">
        <f t="shared" si="12"/>
        <v>0.8</v>
      </c>
      <c r="G39" s="45">
        <f t="shared" si="12"/>
        <v>0.8</v>
      </c>
      <c r="H39" s="45">
        <f t="shared" si="12"/>
        <v>0.8</v>
      </c>
      <c r="I39" s="45">
        <f t="shared" si="12"/>
        <v>0.8</v>
      </c>
      <c r="J39" s="45">
        <f t="shared" si="12"/>
        <v>0.8</v>
      </c>
      <c r="K39" s="45">
        <f t="shared" si="12"/>
        <v>0.8</v>
      </c>
      <c r="L39" t="s">
        <v>179</v>
      </c>
      <c r="M39" s="83" t="s">
        <v>231</v>
      </c>
      <c r="AH39" t="s">
        <v>232</v>
      </c>
      <c r="AI39" s="86" t="s">
        <v>233</v>
      </c>
      <c r="AJ39" s="86"/>
    </row>
    <row r="40" spans="1:36" ht="15.6">
      <c r="A40" t="s">
        <v>234</v>
      </c>
      <c r="B40" s="44">
        <v>0.83</v>
      </c>
      <c r="C40" s="45">
        <f t="shared" ref="C40:K40" si="13">$B$40</f>
        <v>0.83</v>
      </c>
      <c r="D40" s="45">
        <f t="shared" si="13"/>
        <v>0.83</v>
      </c>
      <c r="E40" s="45">
        <f t="shared" si="13"/>
        <v>0.83</v>
      </c>
      <c r="F40" s="45">
        <f t="shared" si="13"/>
        <v>0.83</v>
      </c>
      <c r="G40" s="45">
        <f t="shared" si="13"/>
        <v>0.83</v>
      </c>
      <c r="H40" s="45">
        <f t="shared" si="13"/>
        <v>0.83</v>
      </c>
      <c r="I40" s="45">
        <f t="shared" si="13"/>
        <v>0.83</v>
      </c>
      <c r="J40" s="45">
        <f t="shared" si="13"/>
        <v>0.83</v>
      </c>
      <c r="K40" s="45">
        <f t="shared" si="13"/>
        <v>0.83</v>
      </c>
      <c r="L40" t="s">
        <v>179</v>
      </c>
      <c r="M40" s="83" t="s">
        <v>235</v>
      </c>
      <c r="AH40" t="s">
        <v>236</v>
      </c>
      <c r="AI40" s="86" t="s">
        <v>237</v>
      </c>
      <c r="AJ40" s="86"/>
    </row>
    <row r="41" spans="1:36" ht="15.6">
      <c r="A41" t="s">
        <v>238</v>
      </c>
      <c r="B41" s="45">
        <f t="shared" ref="B41:K41" si="14">1+B39*(B37-1)</f>
        <v>1.56</v>
      </c>
      <c r="C41" s="45">
        <f t="shared" si="14"/>
        <v>1.9120000000000001</v>
      </c>
      <c r="D41" s="205">
        <f t="shared" si="14"/>
        <v>1.56</v>
      </c>
      <c r="E41" s="45">
        <f t="shared" si="14"/>
        <v>1.56</v>
      </c>
      <c r="F41" s="45">
        <f t="shared" si="14"/>
        <v>1.9120000000000001</v>
      </c>
      <c r="G41" s="45">
        <f t="shared" si="14"/>
        <v>1.9120000000000001</v>
      </c>
      <c r="H41" s="205">
        <f t="shared" si="14"/>
        <v>1.56</v>
      </c>
      <c r="I41" s="45">
        <f t="shared" si="14"/>
        <v>1.56</v>
      </c>
      <c r="J41" s="45">
        <f t="shared" si="14"/>
        <v>1.9120000000000001</v>
      </c>
      <c r="K41" s="45">
        <f t="shared" si="14"/>
        <v>1.56</v>
      </c>
      <c r="L41" t="s">
        <v>179</v>
      </c>
      <c r="AH41" t="s">
        <v>239</v>
      </c>
      <c r="AI41" s="86" t="s">
        <v>240</v>
      </c>
      <c r="AJ41" s="86"/>
    </row>
    <row r="42" spans="1:36" ht="15.6">
      <c r="A42" t="s">
        <v>241</v>
      </c>
      <c r="B42" s="45">
        <f t="shared" ref="B42:K42" si="15">1+B40*(B38-1)</f>
        <v>1.415</v>
      </c>
      <c r="C42" s="45">
        <f t="shared" si="15"/>
        <v>2.66</v>
      </c>
      <c r="D42" s="205">
        <f t="shared" si="15"/>
        <v>1.415</v>
      </c>
      <c r="E42" s="45">
        <f t="shared" si="15"/>
        <v>1.415</v>
      </c>
      <c r="F42" s="45">
        <f t="shared" si="15"/>
        <v>2.66</v>
      </c>
      <c r="G42" s="45">
        <f t="shared" si="15"/>
        <v>2.66</v>
      </c>
      <c r="H42" s="205">
        <f t="shared" si="15"/>
        <v>1.415</v>
      </c>
      <c r="I42" s="45">
        <f t="shared" si="15"/>
        <v>1.415</v>
      </c>
      <c r="J42" s="45">
        <f t="shared" si="15"/>
        <v>2.66</v>
      </c>
      <c r="K42" s="45">
        <f t="shared" si="15"/>
        <v>1.415</v>
      </c>
      <c r="L42" t="s">
        <v>179</v>
      </c>
      <c r="AH42" t="s">
        <v>242</v>
      </c>
      <c r="AI42" s="86" t="s">
        <v>243</v>
      </c>
      <c r="AJ42" s="86"/>
    </row>
    <row r="43" spans="1:36">
      <c r="B43"/>
      <c r="D43" s="196"/>
      <c r="H43" s="196"/>
      <c r="AH43" t="s">
        <v>244</v>
      </c>
      <c r="AI43" s="86" t="s">
        <v>245</v>
      </c>
      <c r="AJ43" s="86"/>
    </row>
    <row r="44" spans="1:36" ht="18">
      <c r="A44" s="42" t="s">
        <v>246</v>
      </c>
      <c r="B44" s="42"/>
      <c r="D44" s="196"/>
      <c r="H44" s="196"/>
      <c r="AH44" t="s">
        <v>247</v>
      </c>
      <c r="AI44" s="79" t="s">
        <v>248</v>
      </c>
    </row>
    <row r="45" spans="1:36">
      <c r="A45" t="s">
        <v>214</v>
      </c>
      <c r="B45" s="84">
        <f t="shared" ref="B45:K45" si="16">((3.1415*B34^3)/16)*(B29/B25+B30/B11)^-1</f>
        <v>0.16616999928623269</v>
      </c>
      <c r="C45" s="84">
        <f t="shared" si="16"/>
        <v>0.25547336574456864</v>
      </c>
      <c r="D45" s="206">
        <f t="shared" si="16"/>
        <v>0.16721978078001104</v>
      </c>
      <c r="E45" s="84">
        <f t="shared" si="16"/>
        <v>1.5869396358529314E-3</v>
      </c>
      <c r="F45" s="84">
        <f t="shared" si="16"/>
        <v>5.6241473754860306E-3</v>
      </c>
      <c r="G45" s="84">
        <f t="shared" si="16"/>
        <v>2.7954072019679087E-3</v>
      </c>
      <c r="H45" s="206">
        <f t="shared" si="16"/>
        <v>1.9707670772392957E-3</v>
      </c>
      <c r="I45" s="84">
        <f t="shared" si="16"/>
        <v>8.2799462684087794E-3</v>
      </c>
      <c r="J45" s="84">
        <f t="shared" si="16"/>
        <v>1.3997806531351515E-2</v>
      </c>
      <c r="K45" s="84">
        <f t="shared" si="16"/>
        <v>8.2799462684087811E-3</v>
      </c>
      <c r="L45" t="s">
        <v>179</v>
      </c>
      <c r="AH45" t="s">
        <v>249</v>
      </c>
      <c r="AI45" s="79" t="s">
        <v>250</v>
      </c>
    </row>
    <row r="46" spans="1:36">
      <c r="A46" t="s">
        <v>251</v>
      </c>
      <c r="B46" s="266">
        <f t="shared" ref="B46:K46" si="17">IF(ISBLANK(B54),((16*B33/PI())*(B29/B26+B30/B11))^(1/3),B54)</f>
        <v>0.7</v>
      </c>
      <c r="C46" s="266">
        <f t="shared" si="17"/>
        <v>0.86</v>
      </c>
      <c r="D46" s="267">
        <f t="shared" si="17"/>
        <v>0.29400409089950397</v>
      </c>
      <c r="E46" s="267">
        <f t="shared" si="17"/>
        <v>1.3886595575039846</v>
      </c>
      <c r="F46" s="267">
        <f t="shared" si="17"/>
        <v>1.8113415891882847</v>
      </c>
      <c r="G46" s="267">
        <f t="shared" si="17"/>
        <v>2.225486148507045</v>
      </c>
      <c r="H46" s="267">
        <f t="shared" si="17"/>
        <v>1.2919255597115107</v>
      </c>
      <c r="I46" s="267">
        <f t="shared" si="17"/>
        <v>0.97873162978643702</v>
      </c>
      <c r="J46" s="267">
        <f t="shared" si="17"/>
        <v>1.4118770846756419</v>
      </c>
      <c r="K46" s="267">
        <f t="shared" si="17"/>
        <v>0.97873162978643702</v>
      </c>
      <c r="L46" t="s">
        <v>23</v>
      </c>
    </row>
    <row r="47" spans="1:36">
      <c r="A47" t="s">
        <v>252</v>
      </c>
      <c r="B47" s="264">
        <f t="shared" ref="B47:K47" si="18">B46/B17</f>
        <v>1.2280701754385965</v>
      </c>
      <c r="C47" s="264">
        <f t="shared" si="18"/>
        <v>1.1621621621621621</v>
      </c>
      <c r="D47" s="265">
        <f t="shared" si="18"/>
        <v>1.0138072099982895</v>
      </c>
      <c r="E47" s="264">
        <f t="shared" si="18"/>
        <v>0.95113668322190725</v>
      </c>
      <c r="F47" s="264">
        <f t="shared" si="18"/>
        <v>0.95333767852014983</v>
      </c>
      <c r="G47" s="264">
        <f t="shared" si="18"/>
        <v>0.99797585134845068</v>
      </c>
      <c r="H47" s="265">
        <f t="shared" si="18"/>
        <v>1.0014926819469074</v>
      </c>
      <c r="I47" s="264">
        <f t="shared" si="18"/>
        <v>0.99870574468003781</v>
      </c>
      <c r="J47" s="264">
        <f t="shared" si="18"/>
        <v>1.0013312657274056</v>
      </c>
      <c r="K47" s="264">
        <f t="shared" si="18"/>
        <v>0.99870574468003781</v>
      </c>
    </row>
    <row r="48" spans="1:36">
      <c r="A48" t="s">
        <v>253</v>
      </c>
      <c r="B48" s="153">
        <f t="shared" ref="B48:K48" si="19">ROUNDUP(B46,1)</f>
        <v>0.7</v>
      </c>
      <c r="C48" s="153">
        <f t="shared" si="19"/>
        <v>0.9</v>
      </c>
      <c r="D48" s="153">
        <f t="shared" si="19"/>
        <v>0.30000000000000004</v>
      </c>
      <c r="E48" s="153">
        <f t="shared" si="19"/>
        <v>1.4000000000000001</v>
      </c>
      <c r="F48" s="153">
        <f t="shared" si="19"/>
        <v>1.9000000000000001</v>
      </c>
      <c r="G48" s="153">
        <f t="shared" si="19"/>
        <v>2.3000000000000003</v>
      </c>
      <c r="H48" s="153">
        <f t="shared" si="19"/>
        <v>1.3</v>
      </c>
      <c r="I48" s="153">
        <f t="shared" si="19"/>
        <v>1</v>
      </c>
      <c r="J48" s="153">
        <f t="shared" si="19"/>
        <v>1.5</v>
      </c>
      <c r="K48" s="153">
        <f t="shared" si="19"/>
        <v>1</v>
      </c>
    </row>
    <row r="49" spans="1:12" ht="18">
      <c r="A49" s="42" t="s">
        <v>254</v>
      </c>
      <c r="B49"/>
      <c r="C49"/>
      <c r="D49" s="196"/>
      <c r="H49" s="196"/>
    </row>
    <row r="50" spans="1:12">
      <c r="B50"/>
      <c r="C50"/>
      <c r="D50" s="196"/>
      <c r="H50" s="196"/>
    </row>
    <row r="51" spans="1:12" ht="15.6">
      <c r="A51" t="s">
        <v>255</v>
      </c>
      <c r="B51" s="84">
        <f t="shared" ref="B51:K51" si="20">SQRT((32*B41*(B3+B4)/(3.1415*B46^3))^2+3*(16*B42*(B5+B6)/(3.1415*B46^3))^2)</f>
        <v>45929.76688656881</v>
      </c>
      <c r="C51" s="84">
        <f t="shared" si="20"/>
        <v>46811.15884062546</v>
      </c>
      <c r="D51" s="206">
        <f t="shared" si="20"/>
        <v>30981.638870444509</v>
      </c>
      <c r="E51" s="84">
        <f t="shared" si="20"/>
        <v>30981.638870444502</v>
      </c>
      <c r="F51" s="84">
        <f t="shared" si="20"/>
        <v>30279.245324655716</v>
      </c>
      <c r="G51" s="84">
        <f t="shared" si="20"/>
        <v>29549.430855545044</v>
      </c>
      <c r="H51" s="206">
        <f t="shared" si="20"/>
        <v>30981.638870444509</v>
      </c>
      <c r="I51" s="84">
        <f t="shared" si="20"/>
        <v>47521.693971609056</v>
      </c>
      <c r="J51" s="84">
        <f t="shared" si="20"/>
        <v>35573.623601472093</v>
      </c>
      <c r="K51" s="84">
        <f t="shared" si="20"/>
        <v>47521.693971609056</v>
      </c>
      <c r="L51" t="s">
        <v>148</v>
      </c>
    </row>
    <row r="52" spans="1:12">
      <c r="B52" s="246">
        <f>B51/1000</f>
        <v>45.929766886568807</v>
      </c>
      <c r="C52" s="246">
        <f t="shared" ref="C52:K52" si="21">C51/1000</f>
        <v>46.81115884062546</v>
      </c>
      <c r="D52" s="247">
        <f t="shared" si="21"/>
        <v>30.98163887044451</v>
      </c>
      <c r="E52" s="246">
        <f t="shared" si="21"/>
        <v>30.981638870444502</v>
      </c>
      <c r="F52" s="246">
        <f t="shared" si="21"/>
        <v>30.279245324655715</v>
      </c>
      <c r="G52" s="246">
        <f t="shared" si="21"/>
        <v>29.549430855545044</v>
      </c>
      <c r="H52" s="247">
        <f t="shared" si="21"/>
        <v>30.98163887044451</v>
      </c>
      <c r="I52" s="246">
        <f t="shared" si="21"/>
        <v>47.521693971609054</v>
      </c>
      <c r="J52" s="246">
        <f t="shared" si="21"/>
        <v>35.573623601472093</v>
      </c>
      <c r="K52" s="246">
        <f t="shared" si="21"/>
        <v>47.521693971609054</v>
      </c>
      <c r="L52" t="s">
        <v>3</v>
      </c>
    </row>
    <row r="53" spans="1:12" ht="15.6">
      <c r="A53" t="s">
        <v>256</v>
      </c>
      <c r="B53" s="84">
        <f t="shared" ref="B53:K53" si="22">B13/B51</f>
        <v>1.5676108302011627</v>
      </c>
      <c r="C53" s="84">
        <f t="shared" si="22"/>
        <v>1.5380948001123653</v>
      </c>
      <c r="D53" s="206">
        <f t="shared" si="22"/>
        <v>2.323957112181231</v>
      </c>
      <c r="E53" s="84">
        <f t="shared" si="22"/>
        <v>2.3239571121812315</v>
      </c>
      <c r="F53" s="84">
        <f t="shared" si="22"/>
        <v>2.3778663975278143</v>
      </c>
      <c r="G53" s="84">
        <f t="shared" si="22"/>
        <v>2.4365951531174406</v>
      </c>
      <c r="H53" s="206">
        <f t="shared" si="22"/>
        <v>2.323957112181231</v>
      </c>
      <c r="I53" s="84">
        <f t="shared" si="22"/>
        <v>1.5150975056363742</v>
      </c>
      <c r="J53" s="84">
        <f t="shared" si="22"/>
        <v>2.0239714909734561</v>
      </c>
      <c r="K53" s="84">
        <f t="shared" si="22"/>
        <v>1.5150975056363742</v>
      </c>
      <c r="L53" t="s">
        <v>179</v>
      </c>
    </row>
    <row r="54" spans="1:12" ht="28.9">
      <c r="A54" s="108" t="s">
        <v>257</v>
      </c>
      <c r="B54" s="1">
        <v>0.7</v>
      </c>
      <c r="C54" s="1">
        <v>0.86</v>
      </c>
      <c r="L54" t="s">
        <v>23</v>
      </c>
    </row>
  </sheetData>
  <dataValidations disablePrompts="1" count="1">
    <dataValidation type="whole" allowBlank="1" showInputMessage="1" showErrorMessage="1" sqref="M23" xr:uid="{600C3B26-B01B-4BE4-8A28-FFDB02EAE852}">
      <formula1>1</formula1>
      <formula2>10</formula2>
    </dataValidation>
  </dataValidation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4" name="Drop Down 1">
              <controlPr defaultSize="0" autoLine="0" autoPict="0">
                <anchor moveWithCells="1">
                  <from>
                    <xdr:col>12</xdr:col>
                    <xdr:colOff>7620</xdr:colOff>
                    <xdr:row>19</xdr:row>
                    <xdr:rowOff>30480</xdr:rowOff>
                  </from>
                  <to>
                    <xdr:col>12</xdr:col>
                    <xdr:colOff>1226820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4" r:id="rId5" name="Drop Down 2">
              <controlPr defaultSize="0" autoLine="0" autoPict="0">
                <anchor moveWithCells="1">
                  <from>
                    <xdr:col>12</xdr:col>
                    <xdr:colOff>0</xdr:colOff>
                    <xdr:row>23</xdr:row>
                    <xdr:rowOff>30480</xdr:rowOff>
                  </from>
                  <to>
                    <xdr:col>12</xdr:col>
                    <xdr:colOff>1211580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5" r:id="rId6" name="Drop Down 3">
              <controlPr defaultSize="0" autoLine="0" autoPict="0">
                <anchor moveWithCells="1">
                  <from>
                    <xdr:col>12</xdr:col>
                    <xdr:colOff>0</xdr:colOff>
                    <xdr:row>21</xdr:row>
                    <xdr:rowOff>30480</xdr:rowOff>
                  </from>
                  <to>
                    <xdr:col>12</xdr:col>
                    <xdr:colOff>1242060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9" r:id="rId7" name="Drop Down 7">
              <controlPr defaultSize="0" autoLine="0" autoPict="0">
                <anchor moveWithCells="1">
                  <from>
                    <xdr:col>1</xdr:col>
                    <xdr:colOff>0</xdr:colOff>
                    <xdr:row>7</xdr:row>
                    <xdr:rowOff>259080</xdr:rowOff>
                  </from>
                  <to>
                    <xdr:col>3</xdr:col>
                    <xdr:colOff>1905</xdr:colOff>
                    <xdr:row>9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EFBBFF-5285-4C41-B04D-8D9F7CC91F21}">
  <sheetPr codeName="Sheet4"/>
  <dimension ref="A1:O45"/>
  <sheetViews>
    <sheetView topLeftCell="A12" zoomScale="80" workbookViewId="0">
      <selection activeCell="H35" sqref="H35"/>
    </sheetView>
  </sheetViews>
  <sheetFormatPr defaultRowHeight="14.45"/>
  <cols>
    <col min="1" max="1" width="26.7109375" customWidth="1"/>
    <col min="2" max="2" width="12.140625" customWidth="1"/>
    <col min="3" max="3" width="14.140625" customWidth="1"/>
    <col min="4" max="5" width="15.28515625" customWidth="1"/>
    <col min="6" max="6" width="18.140625" customWidth="1"/>
    <col min="7" max="7" width="12.85546875" customWidth="1"/>
    <col min="8" max="8" width="15.140625" customWidth="1"/>
    <col min="10" max="13" width="14.28515625" customWidth="1"/>
  </cols>
  <sheetData>
    <row r="1" spans="1:15">
      <c r="A1" t="s">
        <v>258</v>
      </c>
      <c r="E1" t="s">
        <v>259</v>
      </c>
    </row>
    <row r="2" spans="1:15">
      <c r="A2" t="s">
        <v>260</v>
      </c>
      <c r="B2" s="259">
        <v>0.39400000000000002</v>
      </c>
      <c r="C2" s="1" t="s">
        <v>23</v>
      </c>
      <c r="E2" t="s">
        <v>261</v>
      </c>
      <c r="F2">
        <v>1</v>
      </c>
      <c r="H2" t="s">
        <v>262</v>
      </c>
      <c r="J2" s="272" t="s">
        <v>263</v>
      </c>
      <c r="K2" s="273"/>
      <c r="L2" s="273"/>
      <c r="M2" s="273"/>
      <c r="N2" s="273"/>
      <c r="O2" s="274"/>
    </row>
    <row r="3" spans="1:15">
      <c r="A3" t="s">
        <v>264</v>
      </c>
      <c r="B3" s="259">
        <v>0.39400000000000002</v>
      </c>
      <c r="C3" s="1" t="s">
        <v>23</v>
      </c>
      <c r="E3" t="s">
        <v>265</v>
      </c>
      <c r="F3">
        <v>2</v>
      </c>
      <c r="H3" t="s">
        <v>262</v>
      </c>
      <c r="J3" s="119" t="s">
        <v>266</v>
      </c>
      <c r="K3" s="261" t="s">
        <v>267</v>
      </c>
      <c r="L3" s="261" t="s">
        <v>268</v>
      </c>
      <c r="M3" s="261" t="s">
        <v>269</v>
      </c>
      <c r="N3" s="261" t="s">
        <v>270</v>
      </c>
      <c r="O3" s="260" t="s">
        <v>271</v>
      </c>
    </row>
    <row r="4" spans="1:15">
      <c r="A4" t="s">
        <v>272</v>
      </c>
      <c r="B4" s="259">
        <v>1.89</v>
      </c>
      <c r="C4" s="1" t="s">
        <v>23</v>
      </c>
      <c r="E4" t="s">
        <v>273</v>
      </c>
      <c r="F4">
        <v>3</v>
      </c>
      <c r="H4" t="s">
        <v>262</v>
      </c>
      <c r="J4" s="256">
        <f>'Input-Output'!B14/25.4</f>
        <v>0.27559055118110237</v>
      </c>
      <c r="K4" s="257">
        <f>'Input-Output'!B15/25.4</f>
        <v>0.19685039370078741</v>
      </c>
      <c r="L4" s="257">
        <f>'Input-Output'!B16/25.4</f>
        <v>0.51181102362204722</v>
      </c>
      <c r="M4" s="257">
        <f>'Input-Output'!B17/25.4</f>
        <v>0.27559055118110237</v>
      </c>
      <c r="N4" s="257">
        <f>'Input-Output'!B18/25.4</f>
        <v>0.39370078740157483</v>
      </c>
      <c r="O4" s="258">
        <f>'Input-Output'!B19/25.4</f>
        <v>0.39370078740157483</v>
      </c>
    </row>
    <row r="5" spans="1:15">
      <c r="A5" t="s">
        <v>274</v>
      </c>
      <c r="B5" s="259">
        <v>0.70899999999999996</v>
      </c>
      <c r="C5" s="1" t="s">
        <v>23</v>
      </c>
      <c r="E5" t="s">
        <v>275</v>
      </c>
      <c r="F5">
        <v>4</v>
      </c>
      <c r="H5" t="s">
        <v>262</v>
      </c>
    </row>
    <row r="6" spans="1:15">
      <c r="A6" t="s">
        <v>276</v>
      </c>
      <c r="B6" s="259">
        <v>0.90600000000000003</v>
      </c>
      <c r="C6" s="1" t="s">
        <v>23</v>
      </c>
    </row>
    <row r="7" spans="1:15">
      <c r="A7" t="s">
        <v>277</v>
      </c>
      <c r="B7" s="259">
        <v>0.90600000000000003</v>
      </c>
      <c r="C7" s="1" t="s">
        <v>23</v>
      </c>
      <c r="F7" s="9" t="s">
        <v>152</v>
      </c>
    </row>
    <row r="8" spans="1:15">
      <c r="A8" t="s">
        <v>278</v>
      </c>
      <c r="B8" s="43">
        <f>'Input-Output'!B26</f>
        <v>0.75</v>
      </c>
      <c r="C8" s="1" t="s">
        <v>23</v>
      </c>
      <c r="F8" s="141" t="s">
        <v>156</v>
      </c>
    </row>
    <row r="9" spans="1:15">
      <c r="A9" t="s">
        <v>279</v>
      </c>
      <c r="B9" s="43">
        <f>'Input-Output'!B29</f>
        <v>1.75</v>
      </c>
      <c r="C9" s="1" t="s">
        <v>23</v>
      </c>
      <c r="F9" s="147" t="s">
        <v>280</v>
      </c>
    </row>
    <row r="10" spans="1:15">
      <c r="A10" t="s">
        <v>281</v>
      </c>
      <c r="B10" s="149">
        <v>0.125</v>
      </c>
      <c r="C10" s="1" t="s">
        <v>23</v>
      </c>
      <c r="F10" s="150" t="s">
        <v>282</v>
      </c>
    </row>
    <row r="11" spans="1:15">
      <c r="A11" t="s">
        <v>283</v>
      </c>
      <c r="B11" s="118">
        <f>'Input-Output'!B9</f>
        <v>42.119479693268431</v>
      </c>
      <c r="C11" s="1" t="s">
        <v>28</v>
      </c>
      <c r="F11" s="156" t="s">
        <v>284</v>
      </c>
    </row>
    <row r="12" spans="1:15">
      <c r="A12" t="s">
        <v>285</v>
      </c>
      <c r="B12">
        <f>'Input-Output'!B47</f>
        <v>5.333333333333333</v>
      </c>
      <c r="C12" s="1" t="s">
        <v>23</v>
      </c>
      <c r="F12" s="160" t="s">
        <v>286</v>
      </c>
    </row>
    <row r="13" spans="1:15">
      <c r="A13" t="s">
        <v>287</v>
      </c>
      <c r="B13">
        <f>'Input-Output'!B48</f>
        <v>16.333333333333332</v>
      </c>
      <c r="C13" s="1" t="s">
        <v>23</v>
      </c>
    </row>
    <row r="14" spans="1:15">
      <c r="A14" t="s">
        <v>288</v>
      </c>
      <c r="B14">
        <f>'Input-Output'!B49</f>
        <v>3.75</v>
      </c>
      <c r="C14" s="1" t="s">
        <v>23</v>
      </c>
    </row>
    <row r="15" spans="1:15">
      <c r="A15" t="s">
        <v>289</v>
      </c>
      <c r="B15">
        <f>'Input-Output'!B50</f>
        <v>5.625</v>
      </c>
      <c r="C15" s="1" t="s">
        <v>23</v>
      </c>
    </row>
    <row r="17" spans="1:7">
      <c r="A17" s="275" t="s">
        <v>290</v>
      </c>
      <c r="B17" s="275"/>
      <c r="C17" s="275"/>
      <c r="D17" s="275"/>
      <c r="E17" s="275"/>
      <c r="F17" s="275"/>
    </row>
    <row r="18" spans="1:7">
      <c r="A18" t="s">
        <v>111</v>
      </c>
      <c r="B18" t="s">
        <v>291</v>
      </c>
      <c r="C18" t="s">
        <v>292</v>
      </c>
      <c r="D18" t="s">
        <v>293</v>
      </c>
      <c r="E18" t="s">
        <v>294</v>
      </c>
      <c r="F18" t="s">
        <v>295</v>
      </c>
    </row>
    <row r="19" spans="1:7">
      <c r="A19" s="108" t="s">
        <v>296</v>
      </c>
      <c r="B19" s="167">
        <v>0</v>
      </c>
      <c r="C19" s="141">
        <f>B2/2</f>
        <v>0.19700000000000001</v>
      </c>
      <c r="D19" s="141">
        <f>B2/2+B10+B8/2</f>
        <v>0.69700000000000006</v>
      </c>
      <c r="E19" s="141">
        <f>D19+B8/2+B10</f>
        <v>1.1970000000000001</v>
      </c>
      <c r="F19" s="141">
        <f>E19+(B3/2)</f>
        <v>1.3940000000000001</v>
      </c>
    </row>
    <row r="20" spans="1:7" ht="15.6">
      <c r="A20" t="s">
        <v>297</v>
      </c>
      <c r="B20" s="164">
        <f>-D20-F20</f>
        <v>-236.34509049146462</v>
      </c>
      <c r="C20" s="167">
        <v>0</v>
      </c>
      <c r="D20" s="147">
        <f>'Input-Output'!B10</f>
        <v>472.69018098292923</v>
      </c>
      <c r="E20" s="167">
        <v>0</v>
      </c>
      <c r="F20" s="164">
        <f>-($D$19*D20)/F19</f>
        <v>-236.34509049146462</v>
      </c>
    </row>
    <row r="21" spans="1:7" ht="15.6">
      <c r="A21" t="s">
        <v>298</v>
      </c>
      <c r="B21" s="164">
        <f>-D21-F21</f>
        <v>-86.022577953845172</v>
      </c>
      <c r="C21" s="167">
        <v>0</v>
      </c>
      <c r="D21" s="147">
        <f>'Input-Output'!B12</f>
        <v>172.04515590769034</v>
      </c>
      <c r="E21" s="167">
        <v>0</v>
      </c>
      <c r="F21" s="164">
        <f>-($D$19*D21)/F19</f>
        <v>-86.022577953845172</v>
      </c>
    </row>
    <row r="22" spans="1:7">
      <c r="A22" t="s">
        <v>299</v>
      </c>
      <c r="B22" s="171">
        <f>-SQRT(B20^2+B21^2)</f>
        <v>-251.5131919348247</v>
      </c>
      <c r="C22" s="155">
        <f>SQRT(C20^2+C21^2)</f>
        <v>0</v>
      </c>
      <c r="D22" s="155">
        <f>SQRT(D20^2+D21^2)+B22</f>
        <v>251.5131919348247</v>
      </c>
      <c r="E22" s="155">
        <f>SQRT(E20^2+E21^2)</f>
        <v>0</v>
      </c>
      <c r="F22" s="171">
        <f>-SQRT(F20^2+F21^2)</f>
        <v>-251.5131919348247</v>
      </c>
    </row>
    <row r="23" spans="1:7" ht="15.6">
      <c r="A23" t="s">
        <v>300</v>
      </c>
      <c r="B23" s="167">
        <v>0</v>
      </c>
      <c r="C23" s="159">
        <f>B22*C19</f>
        <v>-49.548098811160472</v>
      </c>
      <c r="D23" s="159">
        <f>D19*B22</f>
        <v>-175.30469477857284</v>
      </c>
      <c r="E23" s="159">
        <f>D23+(D23/(D19-F19))*(E19-D19)</f>
        <v>-49.548098811160486</v>
      </c>
      <c r="F23" s="167">
        <v>0</v>
      </c>
    </row>
    <row r="24" spans="1:7" ht="15.6">
      <c r="A24" t="s">
        <v>301</v>
      </c>
      <c r="D24" s="230">
        <f>B12/2*D20</f>
        <v>1260.5071492878112</v>
      </c>
    </row>
    <row r="26" spans="1:7">
      <c r="A26" s="275" t="s">
        <v>302</v>
      </c>
      <c r="B26" s="275"/>
      <c r="C26" s="275"/>
      <c r="D26" s="275"/>
      <c r="E26" s="275"/>
      <c r="F26" s="275"/>
      <c r="G26" s="275"/>
    </row>
    <row r="27" spans="1:7">
      <c r="A27" t="s">
        <v>111</v>
      </c>
      <c r="B27" t="s">
        <v>291</v>
      </c>
      <c r="C27" t="s">
        <v>292</v>
      </c>
      <c r="D27" t="s">
        <v>303</v>
      </c>
      <c r="E27" t="s">
        <v>304</v>
      </c>
      <c r="F27" t="s">
        <v>305</v>
      </c>
      <c r="G27" t="s">
        <v>306</v>
      </c>
    </row>
    <row r="28" spans="1:7">
      <c r="A28" t="s">
        <v>296</v>
      </c>
      <c r="B28" s="167">
        <v>0</v>
      </c>
      <c r="C28" s="141">
        <f>B4/2</f>
        <v>0.94499999999999995</v>
      </c>
      <c r="D28" s="141">
        <f>C28+B8/2+B10</f>
        <v>1.4449999999999998</v>
      </c>
      <c r="E28" s="141">
        <f>D28+B8/2+B10+B9/2</f>
        <v>2.82</v>
      </c>
      <c r="F28" s="141">
        <f>E28+B9/2+B10</f>
        <v>3.82</v>
      </c>
      <c r="G28" s="141">
        <f>F28+B5/2</f>
        <v>4.1745000000000001</v>
      </c>
    </row>
    <row r="29" spans="1:7" ht="15.6">
      <c r="A29" t="s">
        <v>297</v>
      </c>
      <c r="B29" s="162">
        <f>ABS(D29-E29-G29)</f>
        <v>2197.6291386265502</v>
      </c>
      <c r="C29" s="167">
        <v>0</v>
      </c>
      <c r="D29" s="147">
        <f>D20</f>
        <v>472.69018098292923</v>
      </c>
      <c r="E29" s="148">
        <f>IF(B11&lt;90,'Input-Output'!B10-'Input-Output'!B11/COS(RADIANS(B11))+'Input-Output'!B13/SIN(RADIANS(B11)),'Input-Output'!B10+'Input-Output'!B11/COS(RADIANS(B11))+'Input-Output'!B13/SIN(RADIANS(B11)))</f>
        <v>-1185.6501502591768</v>
      </c>
      <c r="F29" s="167">
        <v>0</v>
      </c>
      <c r="G29" s="162">
        <f>(($D$28*E29)-($D$28+$D$28)*D29)/($D$28+$D$28+$E$28)</f>
        <v>-539.28880738444411</v>
      </c>
    </row>
    <row r="30" spans="1:7" ht="15.6">
      <c r="A30" t="s">
        <v>298</v>
      </c>
      <c r="B30" s="162">
        <f>ABS(D30-E30-G30)</f>
        <v>5068.9906338716091</v>
      </c>
      <c r="C30" s="167">
        <v>0</v>
      </c>
      <c r="D30" s="147">
        <f>D21</f>
        <v>172.04515590769034</v>
      </c>
      <c r="E30" s="148">
        <f>IF(B11&lt;90, 'Input-Output'!B12+'Input-Output'!B13/COS(RADIANS(B11))+'Input-Output'!B11/SIN(RADIANS(B11)), 'Input-Output'!B12+'Input-Output'!B13/COS(RADIANS(180-B11))+'Input-Output'!B11/SIN(RADIANS(180-B11)))</f>
        <v>4252.0649699808564</v>
      </c>
      <c r="F30" s="167">
        <v>0</v>
      </c>
      <c r="G30" s="162">
        <f>(($D$28*E30)-($D$28+$D$28)*D30)/($D$28+$D$28+$E$28)</f>
        <v>988.97081979844359</v>
      </c>
    </row>
    <row r="31" spans="1:7" ht="15.6">
      <c r="A31" t="s">
        <v>307</v>
      </c>
      <c r="B31" s="162">
        <f t="shared" ref="B31:G31" si="0">SQRT(B29^2+B30^2)</f>
        <v>5524.8746481000426</v>
      </c>
      <c r="C31" s="163">
        <f t="shared" si="0"/>
        <v>0</v>
      </c>
      <c r="D31" s="164">
        <f t="shared" si="0"/>
        <v>503.02638386964941</v>
      </c>
      <c r="E31" s="164">
        <f t="shared" si="0"/>
        <v>4414.2748881042635</v>
      </c>
      <c r="F31" s="163">
        <f t="shared" si="0"/>
        <v>0</v>
      </c>
      <c r="G31" s="162">
        <f t="shared" si="0"/>
        <v>1126.4527065895584</v>
      </c>
    </row>
    <row r="32" spans="1:7" ht="15.6">
      <c r="A32" t="s">
        <v>308</v>
      </c>
      <c r="B32" s="229">
        <f>D32+E32-G32</f>
        <v>-4314.9496033185269</v>
      </c>
      <c r="C32" s="164">
        <f>-B29</f>
        <v>-2197.6291386265502</v>
      </c>
      <c r="D32" s="164">
        <f>C32+C29</f>
        <v>-2197.6291386265502</v>
      </c>
      <c r="E32" s="164">
        <f>D32-D29</f>
        <v>-2670.3193196094794</v>
      </c>
      <c r="F32" s="164">
        <f>E32+E29</f>
        <v>-3855.9694698686562</v>
      </c>
      <c r="G32" s="229">
        <f>(1-$D$28)*D32+(1-$E$28)*E32/(1-$G$28)</f>
        <v>-552.99885491750206</v>
      </c>
    </row>
    <row r="33" spans="1:8" ht="15.6">
      <c r="A33" t="s">
        <v>309</v>
      </c>
      <c r="B33" s="229">
        <f>D33+E33-G33</f>
        <v>-12671.254404674461</v>
      </c>
      <c r="C33" s="164">
        <f>-B30</f>
        <v>-5068.9906338716091</v>
      </c>
      <c r="D33" s="164">
        <f>C33+C30</f>
        <v>-5068.9906338716091</v>
      </c>
      <c r="E33" s="164">
        <f>D33-D30</f>
        <v>-5241.0357897792992</v>
      </c>
      <c r="F33" s="164">
        <f>E33+E30</f>
        <v>-988.97081979844279</v>
      </c>
      <c r="G33" s="229">
        <f>(1-$D$28)*D30+(1-$E$28)*E30/(1-$G$28)</f>
        <v>2361.2279810235527</v>
      </c>
    </row>
    <row r="34" spans="1:8" ht="15.6">
      <c r="A34" t="s">
        <v>310</v>
      </c>
      <c r="B34" s="167">
        <v>0</v>
      </c>
      <c r="C34" s="170" t="s">
        <v>179</v>
      </c>
      <c r="D34" s="164">
        <f>D32*D28</f>
        <v>-3175.5741053153647</v>
      </c>
      <c r="E34" s="164">
        <f>D34+E32*(E28-D28)</f>
        <v>-6847.2631697783991</v>
      </c>
      <c r="F34" s="170" t="s">
        <v>179</v>
      </c>
      <c r="G34" s="167">
        <v>0</v>
      </c>
    </row>
    <row r="35" spans="1:8" ht="15.6">
      <c r="A35" t="s">
        <v>311</v>
      </c>
      <c r="B35" s="167">
        <v>0</v>
      </c>
      <c r="C35" s="170" t="s">
        <v>179</v>
      </c>
      <c r="D35" s="164">
        <f>D33*D28</f>
        <v>-7324.6914659444747</v>
      </c>
      <c r="E35" s="164">
        <f>D35+E33*(E28-D28)</f>
        <v>-14531.115676891011</v>
      </c>
      <c r="F35" s="170" t="s">
        <v>179</v>
      </c>
      <c r="G35" s="167">
        <v>0</v>
      </c>
      <c r="H35" s="1"/>
    </row>
    <row r="36" spans="1:8" ht="15.6">
      <c r="A36" t="s">
        <v>300</v>
      </c>
      <c r="B36" s="167">
        <v>0</v>
      </c>
      <c r="C36" s="157">
        <f>(B4/2)/(B4/2+B10+B8/2)*D36</f>
        <v>5221.0065424545401</v>
      </c>
      <c r="D36" s="168">
        <f>SQRT(D34^2+D35^2)</f>
        <v>7983.4438665045609</v>
      </c>
      <c r="E36" s="168">
        <f>SQRT(E34^2+E35^2)</f>
        <v>16063.571699077122</v>
      </c>
      <c r="F36" s="169">
        <f>(B5/2)/(B5/2+B10+B9/2)*E36</f>
        <v>4204.161068529228</v>
      </c>
      <c r="G36" s="167">
        <v>0</v>
      </c>
      <c r="H36" s="153"/>
    </row>
    <row r="37" spans="1:8" ht="15.6">
      <c r="A37" t="s">
        <v>301</v>
      </c>
      <c r="B37" s="167">
        <v>0</v>
      </c>
      <c r="C37" s="167">
        <v>0</v>
      </c>
      <c r="D37" s="230">
        <f>'Input-Output'!B10*B13/2</f>
        <v>3860.3031446939217</v>
      </c>
      <c r="E37" s="230">
        <f>'Input-Output'!B11*B14/2</f>
        <v>3860.3031446939212</v>
      </c>
      <c r="F37" s="167">
        <v>0</v>
      </c>
      <c r="G37" s="167">
        <v>0</v>
      </c>
    </row>
    <row r="38" spans="1:8">
      <c r="A38" s="271" t="s">
        <v>312</v>
      </c>
      <c r="B38" s="271"/>
      <c r="C38" s="271"/>
      <c r="D38" s="271"/>
      <c r="E38" s="271"/>
      <c r="F38" s="271"/>
    </row>
    <row r="39" spans="1:8">
      <c r="A39" t="s">
        <v>111</v>
      </c>
      <c r="B39" t="s">
        <v>291</v>
      </c>
      <c r="C39" t="s">
        <v>292</v>
      </c>
      <c r="D39" t="s">
        <v>313</v>
      </c>
      <c r="E39" t="s">
        <v>294</v>
      </c>
      <c r="F39" t="s">
        <v>295</v>
      </c>
    </row>
    <row r="40" spans="1:8">
      <c r="A40" t="s">
        <v>296</v>
      </c>
      <c r="B40" s="141">
        <v>0</v>
      </c>
      <c r="C40" s="141">
        <f>B6/2</f>
        <v>0.45300000000000001</v>
      </c>
      <c r="D40" s="141">
        <f>C40+B9/2+B10</f>
        <v>1.4530000000000001</v>
      </c>
      <c r="E40" s="141">
        <f>D40+B9/2+B10</f>
        <v>2.4530000000000003</v>
      </c>
      <c r="F40" s="141">
        <f>E40+(B7/2)</f>
        <v>2.9060000000000001</v>
      </c>
    </row>
    <row r="41" spans="1:8" ht="15.6">
      <c r="A41" t="s">
        <v>297</v>
      </c>
      <c r="B41" s="164">
        <f>-D41-F41</f>
        <v>592.82507512958841</v>
      </c>
      <c r="C41" s="170" t="s">
        <v>179</v>
      </c>
      <c r="D41" s="152">
        <f>E29</f>
        <v>-1185.6501502591768</v>
      </c>
      <c r="E41" s="170" t="s">
        <v>179</v>
      </c>
      <c r="F41" s="164">
        <f>-(D40*D41)/F40</f>
        <v>592.82507512958841</v>
      </c>
    </row>
    <row r="42" spans="1:8" ht="15.6">
      <c r="A42" t="s">
        <v>298</v>
      </c>
      <c r="B42" s="164">
        <f>-D42-F42</f>
        <v>-2126.0324849904282</v>
      </c>
      <c r="C42" s="170" t="s">
        <v>179</v>
      </c>
      <c r="D42" s="152">
        <f>E30</f>
        <v>4252.0649699808564</v>
      </c>
      <c r="E42" s="170" t="s">
        <v>179</v>
      </c>
      <c r="F42" s="164">
        <f>-(D40*D42)/F40</f>
        <v>-2126.0324849904282</v>
      </c>
    </row>
    <row r="43" spans="1:8">
      <c r="A43" t="s">
        <v>314</v>
      </c>
      <c r="B43" s="161">
        <f>-SQRT(B41^2+B42^2)</f>
        <v>-2207.1374440521317</v>
      </c>
      <c r="C43" s="165" t="s">
        <v>179</v>
      </c>
      <c r="D43" s="166">
        <f>SQRT(D41^2+D42^2)+B43</f>
        <v>2207.1374440521317</v>
      </c>
      <c r="E43" s="165" t="s">
        <v>179</v>
      </c>
      <c r="F43" s="228">
        <f>-SQRT(F41^2+F42^2)</f>
        <v>-2207.1374440521317</v>
      </c>
    </row>
    <row r="44" spans="1:8" ht="15.6">
      <c r="A44" t="s">
        <v>300</v>
      </c>
      <c r="B44" s="167">
        <v>0</v>
      </c>
      <c r="C44" s="158">
        <f>C40*B43</f>
        <v>-999.83326215561567</v>
      </c>
      <c r="D44" s="158">
        <f>B43*D40</f>
        <v>-3206.9707062077478</v>
      </c>
      <c r="E44" s="158">
        <f>D44+((D44/(D40-F40))*(E40-D40))</f>
        <v>-999.83326215561556</v>
      </c>
      <c r="F44" s="167">
        <v>0</v>
      </c>
    </row>
    <row r="45" spans="1:8" ht="15.6">
      <c r="A45" t="s">
        <v>301</v>
      </c>
      <c r="D45" s="158">
        <f>B15/2*D41</f>
        <v>-3334.641047603935</v>
      </c>
    </row>
  </sheetData>
  <mergeCells count="4">
    <mergeCell ref="A38:F38"/>
    <mergeCell ref="J2:O2"/>
    <mergeCell ref="A17:F17"/>
    <mergeCell ref="A26:G26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479674-A8AC-4B2D-80A8-0680A1A47D3F}">
  <sheetPr codeName="Sheet5"/>
  <dimension ref="A2:AM101"/>
  <sheetViews>
    <sheetView zoomScale="75" workbookViewId="0">
      <selection activeCell="D45" sqref="D45"/>
    </sheetView>
  </sheetViews>
  <sheetFormatPr defaultRowHeight="14.45"/>
  <cols>
    <col min="20" max="20" width="18.5703125" customWidth="1"/>
    <col min="23" max="23" width="8.85546875" customWidth="1"/>
    <col min="24" max="24" width="17" customWidth="1"/>
    <col min="25" max="28" width="11.42578125" bestFit="1" customWidth="1"/>
  </cols>
  <sheetData>
    <row r="2" spans="1:28">
      <c r="B2" s="64" t="s">
        <v>315</v>
      </c>
      <c r="C2" s="65"/>
      <c r="D2" s="65"/>
      <c r="E2" s="65"/>
      <c r="F2" s="65"/>
      <c r="G2" s="65"/>
      <c r="H2" s="65"/>
      <c r="I2" s="65"/>
      <c r="J2" s="65"/>
      <c r="K2" s="66"/>
      <c r="N2" t="s">
        <v>316</v>
      </c>
      <c r="T2" s="6" t="s">
        <v>152</v>
      </c>
      <c r="X2" s="6" t="s">
        <v>317</v>
      </c>
    </row>
    <row r="3" spans="1:28">
      <c r="B3" s="73" t="s">
        <v>318</v>
      </c>
      <c r="C3" s="1"/>
      <c r="D3" s="1"/>
      <c r="E3" s="1"/>
      <c r="F3" s="1"/>
      <c r="G3" s="1"/>
      <c r="K3" s="67"/>
      <c r="U3" t="s">
        <v>319</v>
      </c>
      <c r="V3" t="s">
        <v>320</v>
      </c>
    </row>
    <row r="4" spans="1:28" ht="15.6">
      <c r="B4" s="74" t="s">
        <v>321</v>
      </c>
      <c r="C4" s="5" t="s">
        <v>32</v>
      </c>
      <c r="D4" s="14">
        <f>P5</f>
        <v>472.69018098292923</v>
      </c>
      <c r="E4" s="14">
        <f>P6</f>
        <v>472.69018098292923</v>
      </c>
      <c r="F4" s="14">
        <f>P7</f>
        <v>2058.828343836758</v>
      </c>
      <c r="G4" s="14">
        <f>P8</f>
        <v>2058.828343836758</v>
      </c>
      <c r="I4" s="17" t="s">
        <v>322</v>
      </c>
      <c r="J4" s="1"/>
      <c r="K4" s="68"/>
      <c r="L4" s="1"/>
      <c r="M4" s="1"/>
      <c r="N4" s="56" t="s">
        <v>323</v>
      </c>
      <c r="O4" s="59" t="s">
        <v>324</v>
      </c>
      <c r="P4" s="94" t="s">
        <v>325</v>
      </c>
      <c r="Q4" s="96" t="s">
        <v>326</v>
      </c>
      <c r="T4" s="34" t="s">
        <v>327</v>
      </c>
      <c r="U4" s="137">
        <v>0.2</v>
      </c>
      <c r="X4" s="34" t="s">
        <v>328</v>
      </c>
      <c r="Y4" s="102"/>
    </row>
    <row r="5" spans="1:28" ht="15.6">
      <c r="B5" s="75" t="s">
        <v>329</v>
      </c>
      <c r="C5" s="5" t="s">
        <v>148</v>
      </c>
      <c r="D5" s="14">
        <f>Y49</f>
        <v>9927.8832545724799</v>
      </c>
      <c r="E5" s="14">
        <f>Z49</f>
        <v>29163.157060306654</v>
      </c>
      <c r="F5" s="14">
        <f>AA49</f>
        <v>13704.301771547907</v>
      </c>
      <c r="G5" s="14">
        <f>AB49</f>
        <v>20119.081324187358</v>
      </c>
      <c r="I5" s="7" t="s">
        <v>330</v>
      </c>
      <c r="J5" s="3">
        <v>9</v>
      </c>
      <c r="K5" s="67"/>
      <c r="N5" s="60" t="s">
        <v>331</v>
      </c>
      <c r="O5" s="58">
        <f>SQRT(P5^2+Q5^2)</f>
        <v>503.02638386964941</v>
      </c>
      <c r="P5" s="57">
        <f>Y9</f>
        <v>472.69018098292923</v>
      </c>
      <c r="Q5" s="95">
        <f>P5*TAN(RADIANS($U$15))</f>
        <v>172.04515590769034</v>
      </c>
      <c r="R5" s="35"/>
      <c r="T5" s="35" t="s">
        <v>332</v>
      </c>
      <c r="U5" s="138">
        <v>10</v>
      </c>
      <c r="X5" s="124" t="s">
        <v>333</v>
      </c>
      <c r="Y5" s="103">
        <f>PI()*U40*U5/12</f>
        <v>13.962634015954634</v>
      </c>
    </row>
    <row r="6" spans="1:28" ht="15.6">
      <c r="A6" t="s">
        <v>334</v>
      </c>
      <c r="B6" s="75" t="s">
        <v>335</v>
      </c>
      <c r="C6" s="5" t="s">
        <v>148</v>
      </c>
      <c r="D6" s="19">
        <f>Y64</f>
        <v>7.2540080319702289</v>
      </c>
      <c r="E6" s="19">
        <f>Z64</f>
        <v>2.7059051797328855</v>
      </c>
      <c r="F6" s="19">
        <f>AA64</f>
        <v>5.7582457729208496</v>
      </c>
      <c r="G6" s="19">
        <f>AB64</f>
        <v>4.0543909194119339</v>
      </c>
      <c r="I6" s="7" t="s">
        <v>336</v>
      </c>
      <c r="J6" s="9">
        <f>P14</f>
        <v>60840</v>
      </c>
      <c r="K6" s="69" t="s">
        <v>148</v>
      </c>
      <c r="L6" s="17"/>
      <c r="M6" s="17"/>
      <c r="N6" s="56" t="s">
        <v>337</v>
      </c>
      <c r="O6" s="58">
        <f>SQRT(P6^2+Q6^2)</f>
        <v>503.02638386964941</v>
      </c>
      <c r="P6" s="57">
        <f>Y9</f>
        <v>472.69018098292923</v>
      </c>
      <c r="Q6" s="95">
        <f>P6*TAN(RADIANS($U$15))</f>
        <v>172.04515590769034</v>
      </c>
      <c r="R6" s="35"/>
      <c r="T6" s="35" t="s">
        <v>338</v>
      </c>
      <c r="U6" s="138">
        <v>2.15</v>
      </c>
      <c r="V6" s="133">
        <v>2.2200000000000002</v>
      </c>
      <c r="X6" s="125" t="s">
        <v>339</v>
      </c>
      <c r="Y6" s="103">
        <f>PI()*U42*U5/12/U21</f>
        <v>3.2057067893773401</v>
      </c>
    </row>
    <row r="7" spans="1:28" ht="15.6">
      <c r="B7" s="75" t="s">
        <v>340</v>
      </c>
      <c r="C7" s="5" t="s">
        <v>148</v>
      </c>
      <c r="D7" s="14">
        <f>Y50</f>
        <v>84637.193366312524</v>
      </c>
      <c r="E7" s="14">
        <f>Z50</f>
        <v>84637.193366312524</v>
      </c>
      <c r="F7" s="14">
        <f>AA50</f>
        <v>156828.34625919213</v>
      </c>
      <c r="G7" s="14">
        <f>AB50</f>
        <v>156828.34625919213</v>
      </c>
      <c r="I7" s="7" t="s">
        <v>341</v>
      </c>
      <c r="J7" s="9">
        <f>P15</f>
        <v>189000</v>
      </c>
      <c r="K7" s="69" t="s">
        <v>148</v>
      </c>
      <c r="L7" s="17"/>
      <c r="M7" s="17"/>
      <c r="N7" s="56" t="s">
        <v>342</v>
      </c>
      <c r="O7" s="58">
        <f>SQRT(P7^2+Q7^2)</f>
        <v>2190.9593608544724</v>
      </c>
      <c r="P7" s="57">
        <f>Y10</f>
        <v>2058.828343836758</v>
      </c>
      <c r="Q7" s="95">
        <f>P7*TAN(RADIANS($U$15))</f>
        <v>749.35223462016222</v>
      </c>
      <c r="R7" s="35"/>
      <c r="T7" s="35" t="s">
        <v>343</v>
      </c>
      <c r="U7" s="138">
        <v>8</v>
      </c>
      <c r="X7" s="125" t="s">
        <v>344</v>
      </c>
      <c r="Y7" s="127">
        <f>(Y19+(P13-3))^2</f>
        <v>4769.8017940475365</v>
      </c>
    </row>
    <row r="8" spans="1:28" ht="15.6">
      <c r="A8" t="s">
        <v>345</v>
      </c>
      <c r="B8" s="75" t="s">
        <v>346</v>
      </c>
      <c r="C8" s="5" t="s">
        <v>148</v>
      </c>
      <c r="D8" s="19">
        <f>Y65</f>
        <v>2.3167148313055046</v>
      </c>
      <c r="E8" s="19">
        <f>Z65</f>
        <v>2.3527751749698051</v>
      </c>
      <c r="F8" s="19">
        <f>AA65</f>
        <v>1.2697467784444452</v>
      </c>
      <c r="G8" s="19">
        <f>AB65</f>
        <v>1.2768714572396165</v>
      </c>
      <c r="I8" s="17" t="s">
        <v>347</v>
      </c>
      <c r="J8" s="1"/>
      <c r="K8" s="68"/>
      <c r="L8" s="1"/>
      <c r="M8" s="1"/>
      <c r="N8" s="56" t="s">
        <v>348</v>
      </c>
      <c r="O8" s="58">
        <f>SQRT(P8^2+Q8^2)</f>
        <v>2190.9593608544724</v>
      </c>
      <c r="P8" s="57">
        <f>Y10</f>
        <v>2058.828343836758</v>
      </c>
      <c r="Q8" s="95">
        <f>P8*TAN(RADIANS($U$15))</f>
        <v>749.35223462016222</v>
      </c>
      <c r="R8" s="35"/>
      <c r="T8" s="35" t="s">
        <v>349</v>
      </c>
      <c r="U8" s="138">
        <v>1</v>
      </c>
      <c r="X8" s="35" t="s">
        <v>325</v>
      </c>
      <c r="Y8" s="103"/>
    </row>
    <row r="9" spans="1:28">
      <c r="B9" s="76" t="s">
        <v>350</v>
      </c>
      <c r="C9" s="8" t="s">
        <v>351</v>
      </c>
      <c r="D9" s="20">
        <f>Y40</f>
        <v>0.47</v>
      </c>
      <c r="E9" s="20">
        <f>Z40</f>
        <v>0.49</v>
      </c>
      <c r="F9" s="20">
        <f>AA40</f>
        <v>0.46</v>
      </c>
      <c r="G9" s="20">
        <f>AB40</f>
        <v>0.47</v>
      </c>
      <c r="I9" s="7" t="s">
        <v>330</v>
      </c>
      <c r="J9" s="3">
        <v>9</v>
      </c>
      <c r="K9" s="67"/>
      <c r="T9" s="35" t="s">
        <v>352</v>
      </c>
      <c r="U9" s="138">
        <v>99</v>
      </c>
      <c r="X9" s="125" t="s">
        <v>333</v>
      </c>
      <c r="Y9" s="103">
        <f>33000*U4/Y5</f>
        <v>472.69018098292923</v>
      </c>
    </row>
    <row r="10" spans="1:28">
      <c r="B10" s="76" t="s">
        <v>353</v>
      </c>
      <c r="C10" s="8" t="s">
        <v>351</v>
      </c>
      <c r="D10" s="10">
        <f>Y47</f>
        <v>0.1211407418255401</v>
      </c>
      <c r="E10" s="10">
        <f>Z47</f>
        <v>0.1211407418255401</v>
      </c>
      <c r="F10" s="10">
        <f>AA47</f>
        <v>9.6418141452980916E-2</v>
      </c>
      <c r="G10" s="10">
        <f>AB47</f>
        <v>9.6418141452980916E-2</v>
      </c>
      <c r="I10" s="7" t="s">
        <v>336</v>
      </c>
      <c r="J10" s="9">
        <f>Q14</f>
        <v>60840</v>
      </c>
      <c r="K10" s="69" t="s">
        <v>148</v>
      </c>
      <c r="T10" s="35" t="s">
        <v>354</v>
      </c>
      <c r="U10" s="254">
        <v>1.5</v>
      </c>
      <c r="X10" s="126" t="s">
        <v>339</v>
      </c>
      <c r="Y10" s="78">
        <f>33000*U4/Y6</f>
        <v>2058.828343836758</v>
      </c>
    </row>
    <row r="11" spans="1:28" ht="15.6">
      <c r="B11" s="76" t="s">
        <v>355</v>
      </c>
      <c r="C11" s="8" t="s">
        <v>351</v>
      </c>
      <c r="D11" s="19">
        <f>Y43</f>
        <v>2300</v>
      </c>
      <c r="E11" s="21"/>
      <c r="F11" s="21"/>
      <c r="G11" s="21"/>
      <c r="I11" s="7" t="s">
        <v>341</v>
      </c>
      <c r="J11" s="9">
        <f>Q15</f>
        <v>189000</v>
      </c>
      <c r="K11" s="69" t="s">
        <v>148</v>
      </c>
      <c r="M11" t="s">
        <v>356</v>
      </c>
      <c r="O11" t="s">
        <v>140</v>
      </c>
      <c r="R11" t="s">
        <v>357</v>
      </c>
      <c r="T11" s="35" t="s">
        <v>358</v>
      </c>
      <c r="U11" s="254">
        <v>1.1000000000000001</v>
      </c>
    </row>
    <row r="12" spans="1:28" ht="15.6">
      <c r="B12" s="76" t="s">
        <v>359</v>
      </c>
      <c r="C12" s="5" t="s">
        <v>360</v>
      </c>
      <c r="D12" s="14">
        <f>Y5</f>
        <v>13.962634015954634</v>
      </c>
      <c r="E12" s="21"/>
      <c r="F12" s="14">
        <f>Y6</f>
        <v>3.2057067893773401</v>
      </c>
      <c r="G12" s="21"/>
      <c r="K12" s="67"/>
      <c r="M12">
        <v>4</v>
      </c>
      <c r="P12" s="154" t="s">
        <v>361</v>
      </c>
      <c r="Q12" t="s">
        <v>362</v>
      </c>
      <c r="R12">
        <v>5</v>
      </c>
      <c r="T12" s="35" t="s">
        <v>363</v>
      </c>
      <c r="U12" s="138" t="s">
        <v>364</v>
      </c>
      <c r="X12" s="6" t="s">
        <v>365</v>
      </c>
    </row>
    <row r="13" spans="1:28" ht="15.6">
      <c r="B13" s="76" t="s">
        <v>366</v>
      </c>
      <c r="C13" s="8" t="s">
        <v>351</v>
      </c>
      <c r="D13" s="19">
        <f>Y18</f>
        <v>1.0416654888015819</v>
      </c>
      <c r="E13" s="19">
        <f>Z18</f>
        <v>1.0416654888015819</v>
      </c>
      <c r="F13" s="19">
        <f>AA18</f>
        <v>1.0200424553327636</v>
      </c>
      <c r="G13" s="19">
        <f>AB18</f>
        <v>1.0200424553327636</v>
      </c>
      <c r="K13" s="67"/>
      <c r="M13">
        <v>5</v>
      </c>
      <c r="O13" t="s">
        <v>367</v>
      </c>
      <c r="P13" s="97">
        <v>7</v>
      </c>
      <c r="Q13" s="97">
        <v>7</v>
      </c>
      <c r="R13">
        <v>6</v>
      </c>
      <c r="T13" s="35" t="s">
        <v>368</v>
      </c>
      <c r="U13" s="138" t="s">
        <v>369</v>
      </c>
    </row>
    <row r="14" spans="1:28" ht="15.6">
      <c r="B14" s="76" t="s">
        <v>370</v>
      </c>
      <c r="C14" s="8" t="s">
        <v>351</v>
      </c>
      <c r="D14" s="24">
        <f>Y15</f>
        <v>1.25</v>
      </c>
      <c r="E14" s="1"/>
      <c r="F14" s="1"/>
      <c r="G14" s="1"/>
      <c r="K14" s="67"/>
      <c r="M14">
        <v>6</v>
      </c>
      <c r="O14" t="s">
        <v>336</v>
      </c>
      <c r="P14" s="97">
        <v>60840</v>
      </c>
      <c r="Q14" s="97">
        <v>60840</v>
      </c>
      <c r="R14">
        <v>7</v>
      </c>
      <c r="T14" s="35" t="s">
        <v>371</v>
      </c>
      <c r="U14" s="138">
        <v>250</v>
      </c>
      <c r="X14" s="208" t="s">
        <v>372</v>
      </c>
      <c r="Y14" s="209">
        <v>1</v>
      </c>
      <c r="Z14" s="209">
        <v>2</v>
      </c>
      <c r="AA14" s="209">
        <v>3</v>
      </c>
      <c r="AB14" s="210">
        <v>4</v>
      </c>
    </row>
    <row r="15" spans="1:28" ht="15.6">
      <c r="B15" s="76" t="s">
        <v>373</v>
      </c>
      <c r="C15" s="8" t="s">
        <v>351</v>
      </c>
      <c r="D15" s="10">
        <f>Y22</f>
        <v>1</v>
      </c>
      <c r="E15" s="10">
        <f>Z22</f>
        <v>1</v>
      </c>
      <c r="F15" s="10">
        <f>AA22</f>
        <v>1</v>
      </c>
      <c r="G15" s="10">
        <f>AB22</f>
        <v>1</v>
      </c>
      <c r="K15" s="67"/>
      <c r="M15">
        <v>8</v>
      </c>
      <c r="O15" t="s">
        <v>341</v>
      </c>
      <c r="P15" s="97">
        <v>189000</v>
      </c>
      <c r="Q15" s="97">
        <v>189000</v>
      </c>
      <c r="R15">
        <v>8</v>
      </c>
      <c r="T15" s="41" t="s">
        <v>374</v>
      </c>
      <c r="U15" s="139">
        <v>20</v>
      </c>
      <c r="X15" s="211" t="s">
        <v>375</v>
      </c>
      <c r="Y15" s="117">
        <v>1.25</v>
      </c>
      <c r="Z15" s="117">
        <v>1.25</v>
      </c>
      <c r="AA15" s="117">
        <v>1.25</v>
      </c>
      <c r="AB15" s="117">
        <v>1.25</v>
      </c>
    </row>
    <row r="16" spans="1:28" ht="15.6">
      <c r="B16" s="76" t="s">
        <v>376</v>
      </c>
      <c r="C16" s="8" t="s">
        <v>351</v>
      </c>
      <c r="D16" s="10">
        <f>Y25</f>
        <v>1.0661104125</v>
      </c>
      <c r="E16" s="10">
        <f>Z25</f>
        <v>1.0661104125</v>
      </c>
      <c r="F16" s="10">
        <f>AA25</f>
        <v>1.1206580791666667</v>
      </c>
      <c r="G16" s="10">
        <f>AB25</f>
        <v>1.1206580791666667</v>
      </c>
      <c r="K16" s="67"/>
      <c r="M16">
        <v>10</v>
      </c>
      <c r="O16" t="s">
        <v>377</v>
      </c>
      <c r="P16" t="s">
        <v>378</v>
      </c>
      <c r="R16">
        <v>9</v>
      </c>
      <c r="T16" s="6" t="s">
        <v>379</v>
      </c>
      <c r="X16" s="35" t="s">
        <v>380</v>
      </c>
      <c r="AB16" s="103"/>
    </row>
    <row r="17" spans="2:28" ht="15.6">
      <c r="B17" s="76" t="s">
        <v>381</v>
      </c>
      <c r="C17" s="8" t="s">
        <v>351</v>
      </c>
      <c r="D17" s="10">
        <f t="shared" ref="D17:G18" si="0">Y54</f>
        <v>1.1860347429465559</v>
      </c>
      <c r="E17" s="10">
        <f t="shared" si="0"/>
        <v>1.2996003759791244</v>
      </c>
      <c r="F17" s="10">
        <f t="shared" si="0"/>
        <v>1.2996003759791244</v>
      </c>
      <c r="G17" s="10">
        <f t="shared" si="0"/>
        <v>1.3433725943799051</v>
      </c>
      <c r="K17" s="67"/>
      <c r="M17">
        <v>12</v>
      </c>
      <c r="O17" t="s">
        <v>382</v>
      </c>
      <c r="P17" s="117">
        <v>300</v>
      </c>
      <c r="Q17" s="117">
        <v>300</v>
      </c>
      <c r="R17">
        <v>10</v>
      </c>
      <c r="X17" s="35"/>
      <c r="AB17" s="103"/>
    </row>
    <row r="18" spans="2:28" ht="15.6">
      <c r="B18" s="76" t="s">
        <v>383</v>
      </c>
      <c r="C18" s="8" t="s">
        <v>351</v>
      </c>
      <c r="D18" s="10">
        <f t="shared" si="0"/>
        <v>1.0394987013904402</v>
      </c>
      <c r="E18" s="10">
        <f t="shared" si="0"/>
        <v>1.0556788025855495</v>
      </c>
      <c r="F18" s="10">
        <f t="shared" si="0"/>
        <v>1.0556788025855495</v>
      </c>
      <c r="G18" s="10">
        <f t="shared" si="0"/>
        <v>1.0616023241151786</v>
      </c>
      <c r="K18" s="67"/>
      <c r="M18">
        <v>16</v>
      </c>
      <c r="R18">
        <v>11</v>
      </c>
      <c r="T18" s="34" t="s">
        <v>384</v>
      </c>
      <c r="U18" s="102">
        <f>U5/U6</f>
        <v>4.6511627906976747</v>
      </c>
      <c r="X18" s="211" t="s">
        <v>385</v>
      </c>
      <c r="Y18">
        <f>((Y19+SQRT($Y$5))/Y19)^Y20</f>
        <v>1.0416654888015819</v>
      </c>
      <c r="Z18">
        <f>((Z19+SQRT($Y$5))/Z19)^Z20</f>
        <v>1.0416654888015819</v>
      </c>
      <c r="AA18">
        <f>((AA19+SQRT($Y$6))/AA19)^AA20</f>
        <v>1.0200424553327636</v>
      </c>
      <c r="AB18" s="103">
        <f>((AB19+SQRT($Y$6))/AB19)^AB20</f>
        <v>1.0200424553327636</v>
      </c>
    </row>
    <row r="19" spans="2:28" ht="15.6">
      <c r="B19" s="76" t="s">
        <v>386</v>
      </c>
      <c r="C19" s="8" t="s">
        <v>351</v>
      </c>
      <c r="D19" s="19">
        <f>Y53</f>
        <v>1.001963550272702</v>
      </c>
      <c r="E19" s="21"/>
      <c r="F19" s="21"/>
      <c r="G19" s="21"/>
      <c r="K19" s="67"/>
      <c r="M19">
        <v>20</v>
      </c>
      <c r="T19" s="35" t="s">
        <v>387</v>
      </c>
      <c r="U19" s="103">
        <f>U5/V6</f>
        <v>4.5045045045045038</v>
      </c>
      <c r="X19" s="35" t="s">
        <v>203</v>
      </c>
      <c r="Y19">
        <f>50+56*(1-Y20)</f>
        <v>65.063751665019879</v>
      </c>
      <c r="Z19">
        <f>50+56*(1-Z20)</f>
        <v>65.063751665019879</v>
      </c>
      <c r="AA19">
        <f>50+56*(1-AA20)</f>
        <v>65.063751665019879</v>
      </c>
      <c r="AB19" s="103">
        <f>50+56*(1-AB20)</f>
        <v>65.063751665019879</v>
      </c>
    </row>
    <row r="20" spans="2:28" ht="15.6">
      <c r="B20" s="76" t="s">
        <v>388</v>
      </c>
      <c r="C20" s="8" t="s">
        <v>351</v>
      </c>
      <c r="D20" s="19">
        <f>Y51</f>
        <v>1</v>
      </c>
      <c r="E20" s="21"/>
      <c r="F20" s="21"/>
      <c r="G20" s="21"/>
      <c r="K20" s="67"/>
      <c r="M20">
        <v>24</v>
      </c>
      <c r="T20" s="35">
        <v>4.5780000000000003</v>
      </c>
      <c r="U20" s="103">
        <v>1</v>
      </c>
      <c r="X20" s="35" t="s">
        <v>206</v>
      </c>
      <c r="Y20">
        <f>0.25*((12-$P$13)^(2/3))</f>
        <v>0.7310044345532164</v>
      </c>
      <c r="Z20">
        <f>0.25*((12-$P$13)^(2/3))</f>
        <v>0.7310044345532164</v>
      </c>
      <c r="AA20">
        <f>0.25*((12-$P$13)^(2/3))</f>
        <v>0.7310044345532164</v>
      </c>
      <c r="AB20" s="103">
        <f>0.25*((12-$P$13)^(2/3))</f>
        <v>0.7310044345532164</v>
      </c>
    </row>
    <row r="21" spans="2:28" ht="15.6">
      <c r="B21" s="76" t="s">
        <v>389</v>
      </c>
      <c r="C21" s="8" t="s">
        <v>351</v>
      </c>
      <c r="D21" s="19">
        <f>Y38</f>
        <v>1</v>
      </c>
      <c r="E21" s="21"/>
      <c r="F21" s="21"/>
      <c r="G21" s="21"/>
      <c r="K21" s="67"/>
      <c r="M21">
        <v>32</v>
      </c>
      <c r="O21" t="s">
        <v>390</v>
      </c>
      <c r="T21" s="35" t="s">
        <v>391</v>
      </c>
      <c r="U21" s="104">
        <v>3.0625</v>
      </c>
      <c r="X21" s="35"/>
      <c r="AB21" s="103"/>
    </row>
    <row r="22" spans="2:28" ht="15.6">
      <c r="B22" s="77" t="s">
        <v>392</v>
      </c>
      <c r="C22" s="70" t="s">
        <v>351</v>
      </c>
      <c r="D22" s="191">
        <f>Y61</f>
        <v>1</v>
      </c>
      <c r="E22" s="191">
        <f>Z61</f>
        <v>1</v>
      </c>
      <c r="F22" s="191">
        <f>AA61</f>
        <v>1</v>
      </c>
      <c r="G22" s="191">
        <f>AB61</f>
        <v>1</v>
      </c>
      <c r="H22" s="71"/>
      <c r="I22" s="71"/>
      <c r="J22" s="71"/>
      <c r="K22" s="72"/>
      <c r="M22">
        <v>48</v>
      </c>
      <c r="O22" t="s">
        <v>393</v>
      </c>
      <c r="P22">
        <f>U5</f>
        <v>10</v>
      </c>
      <c r="T22" s="35" t="s">
        <v>394</v>
      </c>
      <c r="U22" s="136">
        <f>U18/U21</f>
        <v>1.5187470336972</v>
      </c>
      <c r="X22" s="211" t="s">
        <v>395</v>
      </c>
      <c r="Y22" s="117">
        <v>1</v>
      </c>
      <c r="Z22" s="117">
        <v>1</v>
      </c>
      <c r="AA22" s="117">
        <v>1</v>
      </c>
      <c r="AB22" s="104">
        <v>1</v>
      </c>
    </row>
    <row r="23" spans="2:28">
      <c r="M23">
        <v>64</v>
      </c>
      <c r="O23" t="s">
        <v>396</v>
      </c>
      <c r="P23">
        <f>U5/U21</f>
        <v>3.2653061224489797</v>
      </c>
      <c r="T23" s="35" t="s">
        <v>397</v>
      </c>
      <c r="U23" s="136">
        <f>U19/U21</f>
        <v>1.4708586137157564</v>
      </c>
      <c r="X23" s="35" t="s">
        <v>398</v>
      </c>
      <c r="AB23" s="103"/>
    </row>
    <row r="24" spans="2:28">
      <c r="O24" t="s">
        <v>399</v>
      </c>
      <c r="P24">
        <f>P23/U25</f>
        <v>2.1768707482993199</v>
      </c>
      <c r="T24" s="35"/>
      <c r="U24" s="103"/>
      <c r="X24" s="35"/>
      <c r="AB24" s="103"/>
    </row>
    <row r="25" spans="2:28">
      <c r="C25" t="s">
        <v>149</v>
      </c>
      <c r="T25" s="35" t="s">
        <v>400</v>
      </c>
      <c r="U25" s="104">
        <v>1.5</v>
      </c>
      <c r="X25" s="211" t="s">
        <v>401</v>
      </c>
      <c r="Y25" s="212">
        <f>1+Y26*(Y29*Y30+Y32*Y36)</f>
        <v>1.0661104125</v>
      </c>
      <c r="Z25" s="212">
        <f>1+Z26*(Z29*Z30+Z32*Z36)</f>
        <v>1.0661104125</v>
      </c>
      <c r="AA25" s="212">
        <f>1+AA26*(AA29*AA30+AA32*AA36)</f>
        <v>1.1206580791666667</v>
      </c>
      <c r="AB25" s="213">
        <f>1+AB26*(AB29*AB30+AB32*AB36)</f>
        <v>1.1206580791666667</v>
      </c>
    </row>
    <row r="26" spans="2:28">
      <c r="C26" s="308" t="s">
        <v>402</v>
      </c>
      <c r="D26" s="308"/>
      <c r="T26" s="35"/>
      <c r="U26" s="103"/>
      <c r="X26" s="35" t="s">
        <v>403</v>
      </c>
      <c r="Y26" s="117">
        <v>1</v>
      </c>
      <c r="Z26" s="117">
        <v>1</v>
      </c>
      <c r="AA26" s="117">
        <v>1</v>
      </c>
      <c r="AB26" s="104">
        <v>1</v>
      </c>
    </row>
    <row r="27" spans="2:28">
      <c r="C27" s="276" t="s">
        <v>404</v>
      </c>
      <c r="D27" s="277"/>
      <c r="T27" s="35" t="s">
        <v>405</v>
      </c>
      <c r="U27" s="104">
        <v>12</v>
      </c>
      <c r="X27" s="35" t="s">
        <v>406</v>
      </c>
      <c r="AB27" s="103"/>
    </row>
    <row r="28" spans="2:28">
      <c r="C28" s="309" t="s">
        <v>407</v>
      </c>
      <c r="D28" s="309"/>
      <c r="T28" s="35" t="s">
        <v>408</v>
      </c>
      <c r="U28" s="104">
        <v>16</v>
      </c>
      <c r="X28" s="35" t="s">
        <v>409</v>
      </c>
      <c r="AB28" s="103"/>
    </row>
    <row r="29" spans="2:28">
      <c r="C29" s="98" t="s">
        <v>410</v>
      </c>
      <c r="D29" s="98"/>
      <c r="T29" s="35"/>
      <c r="U29" s="103"/>
      <c r="X29" s="35" t="s">
        <v>411</v>
      </c>
      <c r="Y29" cm="1">
        <f t="array" ref="Y29">_xlfn.IFS(R50&lt;=1,R50/10/U40-0.025,AND(R50&gt;1,R50&lt;=17),R50/10/U40-0.0375+0.0125*R50,AND(R50&gt;17,R50&lt;=40),R50/10/U40-0.1109+0.0207*R50-0.000228*R50^2)</f>
        <v>-1.0937500000000001E-2</v>
      </c>
      <c r="Z29" cm="1">
        <f t="array" ref="Z29">_xlfn.IFS(S50&lt;=1,S50/10/U40-0.025,AND(S50&gt;1,S50&lt;=17),S50/10/U40-0.0375+0.0125*S50,AND(S50&gt;17,S50&lt;=40),S50/10/U40-0.1109+0.0207*S50-0.000228*S50^2)</f>
        <v>-1.0937500000000001E-2</v>
      </c>
      <c r="AA29" cm="1">
        <f t="array" ref="AA29">_xlfn.IFS(T50&lt;=1,T50/10/U42-0.025,AND(T50&gt;1,T50&lt;=17),T50/10/U42-0.0375+0.0125*T50,AND(T50&gt;17,T50&lt;=40),T50/10/U42-0.1109+0.0207*T50-0.000228*T50^2)</f>
        <v>3.1041666666666665E-2</v>
      </c>
      <c r="AB29" s="103" cm="1">
        <f t="array" ref="AB29">_xlfn.IFS(U50&lt;=1,U50/10/U42-0.025,AND(U50&gt;1,U50&lt;=17),U50/10/U42-0.0375+0.0125*U50,AND(U50&gt;17,U50&lt;=40),U50/10/U42-0.1109+0.0207*U50-0.000228*U50^2)</f>
        <v>3.1041666666666665E-2</v>
      </c>
    </row>
    <row r="30" spans="2:28">
      <c r="T30" s="35" t="s">
        <v>412</v>
      </c>
      <c r="U30" s="104">
        <v>64</v>
      </c>
      <c r="X30" s="35" t="s">
        <v>413</v>
      </c>
      <c r="Y30" s="117">
        <v>1</v>
      </c>
      <c r="Z30" s="117">
        <v>1</v>
      </c>
      <c r="AA30" s="117">
        <v>1</v>
      </c>
      <c r="AB30" s="104">
        <v>1</v>
      </c>
    </row>
    <row r="31" spans="2:28">
      <c r="T31" s="35" t="s">
        <v>414</v>
      </c>
      <c r="U31" s="103">
        <f>U30*U21</f>
        <v>196</v>
      </c>
      <c r="X31" s="35" t="s">
        <v>415</v>
      </c>
      <c r="AB31" s="103"/>
    </row>
    <row r="32" spans="2:28">
      <c r="T32" s="35" t="s">
        <v>416</v>
      </c>
      <c r="U32" s="127">
        <f>2/(1+2*U21)/(SIN(RADIANS($U$15))^2)*(U21+SQRT(U21^2+(1+2*U21)*(SIN(RADIANS($U$15))^2)))</f>
        <v>15.017230006371669</v>
      </c>
      <c r="X32" s="35" t="s">
        <v>417</v>
      </c>
      <c r="Y32" s="55">
        <f>Y33+Y34*R50+Y35*R50^2</f>
        <v>7.7047912499999996E-2</v>
      </c>
      <c r="Z32" s="55">
        <f>Z33+Z34*S50+Z35*S50^2</f>
        <v>7.7047912499999996E-2</v>
      </c>
      <c r="AA32" s="55">
        <f>AA33+AA34*T50+AA35*T50^2</f>
        <v>8.9616412500000006E-2</v>
      </c>
      <c r="AB32" s="214">
        <f>AB33+AB34*U50+AB35*U50^2</f>
        <v>8.9616412500000006E-2</v>
      </c>
    </row>
    <row r="33" spans="3:28">
      <c r="R33" t="s">
        <v>418</v>
      </c>
      <c r="T33" s="35" t="s">
        <v>419</v>
      </c>
      <c r="U33" s="127">
        <f>(U30^2*(SIN(RADIANS($U$15))^2)-4)/(4-2*U30*(SIN(RADIANS($U$15))^2))</f>
        <v>-43.300304494327285</v>
      </c>
      <c r="X33" s="35" t="s">
        <v>420</v>
      </c>
      <c r="Y33" s="117">
        <v>6.7500000000000004E-2</v>
      </c>
      <c r="Z33" s="117">
        <v>6.7500000000000004E-2</v>
      </c>
      <c r="AA33" s="117">
        <v>6.7500000000000004E-2</v>
      </c>
      <c r="AB33" s="117">
        <v>6.7500000000000004E-2</v>
      </c>
    </row>
    <row r="34" spans="3:28">
      <c r="C34" s="48"/>
      <c r="D34" s="48"/>
      <c r="E34" s="48"/>
      <c r="F34" s="48"/>
      <c r="G34" s="48"/>
      <c r="H34" s="48"/>
      <c r="I34" s="48"/>
      <c r="J34" s="48"/>
      <c r="K34" s="48"/>
      <c r="T34" s="35"/>
      <c r="U34" s="103"/>
      <c r="X34" s="35" t="s">
        <v>421</v>
      </c>
      <c r="Y34" s="117">
        <v>1.2800000000000001E-2</v>
      </c>
      <c r="Z34" s="117">
        <v>1.2800000000000001E-2</v>
      </c>
      <c r="AA34" s="117">
        <v>1.2800000000000001E-2</v>
      </c>
      <c r="AB34" s="117">
        <v>1.2800000000000001E-2</v>
      </c>
    </row>
    <row r="35" spans="3:28">
      <c r="C35" s="48" t="s">
        <v>422</v>
      </c>
      <c r="D35" s="48"/>
      <c r="E35" s="48"/>
      <c r="F35" s="48"/>
      <c r="G35" s="48"/>
      <c r="H35" s="48"/>
      <c r="I35" s="48"/>
      <c r="J35" s="48"/>
      <c r="K35" s="48"/>
      <c r="T35" s="35" t="s">
        <v>423</v>
      </c>
      <c r="U35" s="104">
        <v>60</v>
      </c>
      <c r="X35" s="35" t="s">
        <v>424</v>
      </c>
      <c r="Y35" s="215">
        <v>-9.2600000000000001E-5</v>
      </c>
      <c r="Z35" s="215">
        <v>-9.2600000000000001E-5</v>
      </c>
      <c r="AA35" s="215">
        <v>-9.2600000000000001E-5</v>
      </c>
      <c r="AB35" s="215">
        <v>-9.2600000000000001E-5</v>
      </c>
    </row>
    <row r="36" spans="3:28">
      <c r="C36" s="48"/>
      <c r="D36" s="48" t="s">
        <v>377</v>
      </c>
      <c r="E36" s="48" t="s">
        <v>425</v>
      </c>
      <c r="F36" s="48" t="s">
        <v>426</v>
      </c>
      <c r="G36" s="48" t="s">
        <v>427</v>
      </c>
      <c r="H36" s="48" t="s">
        <v>425</v>
      </c>
      <c r="I36" s="48" t="s">
        <v>426</v>
      </c>
      <c r="J36" s="48" t="s">
        <v>428</v>
      </c>
      <c r="K36" s="48" t="s">
        <v>429</v>
      </c>
      <c r="T36" s="35" t="s">
        <v>430</v>
      </c>
      <c r="U36" s="103">
        <f>U35*U25</f>
        <v>90</v>
      </c>
      <c r="X36" s="35" t="s">
        <v>431</v>
      </c>
      <c r="Y36" s="117">
        <v>1</v>
      </c>
      <c r="Z36" s="117">
        <v>1</v>
      </c>
      <c r="AA36" s="117">
        <v>1</v>
      </c>
      <c r="AB36" s="104">
        <v>1</v>
      </c>
    </row>
    <row r="37" spans="3:28">
      <c r="C37" s="48">
        <v>1</v>
      </c>
      <c r="D37" s="48" t="s">
        <v>432</v>
      </c>
      <c r="E37" s="48">
        <v>77.3</v>
      </c>
      <c r="F37" s="48">
        <v>12800</v>
      </c>
      <c r="G37" s="48">
        <f t="shared" ref="G37:G45" si="1">E37*K37+F37</f>
        <v>35990</v>
      </c>
      <c r="H37" s="48">
        <v>322</v>
      </c>
      <c r="I37" s="48">
        <v>29100</v>
      </c>
      <c r="J37" s="48">
        <f>H37*K37+I37</f>
        <v>125700</v>
      </c>
      <c r="K37" s="207">
        <v>300</v>
      </c>
      <c r="T37" s="35" t="s">
        <v>433</v>
      </c>
      <c r="U37" s="127">
        <f>2/(1+2*U25)/(SIN(RADIANS($U$15))^2)*(U25+SQRT(U25^2+(1+2*U25)*(SIN(RADIANS($U$15))^2)))</f>
        <v>13.458149419178541</v>
      </c>
      <c r="X37" s="35" t="s">
        <v>415</v>
      </c>
      <c r="AB37" s="103"/>
    </row>
    <row r="38" spans="3:28">
      <c r="C38" s="48">
        <v>2</v>
      </c>
      <c r="D38" s="48" t="s">
        <v>434</v>
      </c>
      <c r="E38" s="48">
        <v>102</v>
      </c>
      <c r="F38" s="48">
        <v>16400</v>
      </c>
      <c r="G38" s="48">
        <f t="shared" si="1"/>
        <v>47000</v>
      </c>
      <c r="H38" s="48">
        <v>349</v>
      </c>
      <c r="I38" s="48">
        <v>34300</v>
      </c>
      <c r="J38" s="48">
        <f>H38*K38+I38</f>
        <v>139000</v>
      </c>
      <c r="K38" s="207">
        <v>300</v>
      </c>
      <c r="R38" t="s">
        <v>418</v>
      </c>
      <c r="T38" s="35" t="s">
        <v>435</v>
      </c>
      <c r="U38" s="127">
        <f>(U35^2*(SIN(RADIANS($U$15))^2)-4)/(4-2*U35*(SIN(RADIANS($U$15))^2))</f>
        <v>-41.556854318634436</v>
      </c>
      <c r="X38" s="211" t="s">
        <v>436</v>
      </c>
      <c r="Y38" s="117">
        <v>1</v>
      </c>
      <c r="Z38" s="117">
        <v>1</v>
      </c>
      <c r="AA38" s="117">
        <v>1</v>
      </c>
      <c r="AB38" s="104">
        <v>1</v>
      </c>
    </row>
    <row r="39" spans="3:28">
      <c r="C39" s="48">
        <v>3</v>
      </c>
      <c r="D39" s="48" t="s">
        <v>437</v>
      </c>
      <c r="E39" s="48">
        <v>82.3</v>
      </c>
      <c r="F39" s="48">
        <v>12150</v>
      </c>
      <c r="G39" s="48">
        <f t="shared" si="1"/>
        <v>36840</v>
      </c>
      <c r="H39" s="48"/>
      <c r="I39" s="48"/>
      <c r="J39" s="48">
        <v>150000</v>
      </c>
      <c r="K39" s="207">
        <v>300</v>
      </c>
      <c r="T39" s="35"/>
      <c r="U39" s="103"/>
      <c r="X39" s="35" t="s">
        <v>438</v>
      </c>
      <c r="AB39" s="103"/>
    </row>
    <row r="40" spans="3:28">
      <c r="C40" s="48">
        <v>4</v>
      </c>
      <c r="D40" s="48" t="s">
        <v>439</v>
      </c>
      <c r="E40" s="48">
        <v>108.6</v>
      </c>
      <c r="F40" s="48">
        <v>15890</v>
      </c>
      <c r="G40" s="48">
        <f t="shared" si="1"/>
        <v>48470</v>
      </c>
      <c r="H40" s="48"/>
      <c r="I40" s="48"/>
      <c r="J40" s="48">
        <v>163000</v>
      </c>
      <c r="K40" s="207">
        <v>300</v>
      </c>
      <c r="T40" s="35" t="s">
        <v>440</v>
      </c>
      <c r="U40" s="138">
        <f>U30/U27</f>
        <v>5.333333333333333</v>
      </c>
      <c r="W40" t="s">
        <v>441</v>
      </c>
      <c r="X40" s="211" t="s">
        <v>350</v>
      </c>
      <c r="Y40" s="117">
        <v>0.47</v>
      </c>
      <c r="Z40" s="117">
        <v>0.49</v>
      </c>
      <c r="AA40" s="117">
        <v>0.46</v>
      </c>
      <c r="AB40" s="104">
        <v>0.47</v>
      </c>
    </row>
    <row r="41" spans="3:28">
      <c r="C41" s="48">
        <v>5</v>
      </c>
      <c r="D41" s="48" t="s">
        <v>442</v>
      </c>
      <c r="E41" s="48">
        <v>86.2</v>
      </c>
      <c r="F41" s="48">
        <v>12730</v>
      </c>
      <c r="G41" s="48">
        <f t="shared" si="1"/>
        <v>38590</v>
      </c>
      <c r="H41" s="48"/>
      <c r="I41" s="48"/>
      <c r="J41" s="48">
        <v>170000</v>
      </c>
      <c r="K41" s="207">
        <v>300</v>
      </c>
      <c r="T41" s="35" t="s">
        <v>443</v>
      </c>
      <c r="U41" s="138">
        <f>U31/U27</f>
        <v>16.333333333333332</v>
      </c>
      <c r="X41" s="35" t="s">
        <v>444</v>
      </c>
      <c r="Y41">
        <f>U30</f>
        <v>64</v>
      </c>
      <c r="Z41">
        <f>U31</f>
        <v>196</v>
      </c>
      <c r="AA41">
        <f>U35</f>
        <v>60</v>
      </c>
      <c r="AB41" s="103">
        <f>U36</f>
        <v>90</v>
      </c>
    </row>
    <row r="42" spans="3:28">
      <c r="C42" s="48">
        <v>6</v>
      </c>
      <c r="D42" s="48" t="s">
        <v>445</v>
      </c>
      <c r="E42" s="48">
        <v>113.8</v>
      </c>
      <c r="F42" s="48">
        <v>16650</v>
      </c>
      <c r="G42" s="48">
        <f t="shared" si="1"/>
        <v>50790</v>
      </c>
      <c r="H42" s="48"/>
      <c r="I42" s="48"/>
      <c r="J42" s="48">
        <v>183000</v>
      </c>
      <c r="K42" s="207">
        <v>300</v>
      </c>
      <c r="T42" s="35" t="s">
        <v>446</v>
      </c>
      <c r="U42" s="138">
        <f>U35/U28</f>
        <v>3.75</v>
      </c>
      <c r="X42" s="35" t="s">
        <v>447</v>
      </c>
      <c r="Y42">
        <f>U31</f>
        <v>196</v>
      </c>
      <c r="Z42">
        <f>U30</f>
        <v>64</v>
      </c>
      <c r="AA42">
        <f>U36</f>
        <v>90</v>
      </c>
      <c r="AB42" s="103">
        <f>U35</f>
        <v>60</v>
      </c>
    </row>
    <row r="43" spans="3:28">
      <c r="C43" s="48">
        <v>7</v>
      </c>
      <c r="D43" s="48" t="s">
        <v>448</v>
      </c>
      <c r="E43" s="48">
        <v>105.2</v>
      </c>
      <c r="F43" s="48">
        <v>9280</v>
      </c>
      <c r="G43" s="48">
        <f t="shared" si="1"/>
        <v>40840</v>
      </c>
      <c r="H43" s="48"/>
      <c r="I43" s="48"/>
      <c r="J43" s="48">
        <v>155000</v>
      </c>
      <c r="K43" s="207">
        <v>300</v>
      </c>
      <c r="T43" s="35" t="s">
        <v>449</v>
      </c>
      <c r="U43" s="138">
        <f>U36/U28</f>
        <v>5.625</v>
      </c>
      <c r="X43" s="211" t="s">
        <v>450</v>
      </c>
      <c r="Y43" s="117">
        <v>2300</v>
      </c>
      <c r="Z43" s="117">
        <v>2300</v>
      </c>
      <c r="AA43" s="117">
        <v>2300</v>
      </c>
      <c r="AB43" s="104">
        <v>2300</v>
      </c>
    </row>
    <row r="44" spans="3:28">
      <c r="C44" s="48">
        <v>8</v>
      </c>
      <c r="D44" s="48" t="s">
        <v>451</v>
      </c>
      <c r="E44" s="48">
        <v>105.2</v>
      </c>
      <c r="F44" s="48">
        <v>22280</v>
      </c>
      <c r="G44" s="48">
        <f t="shared" si="1"/>
        <v>53840</v>
      </c>
      <c r="H44" s="48"/>
      <c r="I44" s="48"/>
      <c r="J44" s="48">
        <v>172000</v>
      </c>
      <c r="K44" s="207">
        <v>300</v>
      </c>
      <c r="T44" s="35"/>
      <c r="U44" s="103"/>
      <c r="X44" s="35" t="s">
        <v>452</v>
      </c>
      <c r="AB44" s="103"/>
    </row>
    <row r="45" spans="3:28">
      <c r="C45" s="48">
        <v>9</v>
      </c>
      <c r="D45" s="48" t="s">
        <v>453</v>
      </c>
      <c r="E45" s="48">
        <v>105.2</v>
      </c>
      <c r="F45" s="48">
        <v>29280</v>
      </c>
      <c r="G45" s="48">
        <f t="shared" si="1"/>
        <v>60840</v>
      </c>
      <c r="H45" s="48"/>
      <c r="I45" s="48"/>
      <c r="J45" s="48">
        <v>189000</v>
      </c>
      <c r="K45" s="207">
        <v>300</v>
      </c>
      <c r="T45" s="35" t="s">
        <v>454</v>
      </c>
      <c r="U45" s="103">
        <f>DEGREES(ACOS((U46^2+U47^2-U7^2)/(2*U46*U47)))</f>
        <v>42.119479693268431</v>
      </c>
      <c r="X45" s="211" t="s">
        <v>455</v>
      </c>
      <c r="Y45" s="117">
        <v>1</v>
      </c>
      <c r="Z45" s="117">
        <v>1</v>
      </c>
      <c r="AA45" s="117">
        <v>1</v>
      </c>
      <c r="AB45" s="104">
        <v>1</v>
      </c>
    </row>
    <row r="46" spans="3:28">
      <c r="C46" s="48">
        <v>10</v>
      </c>
      <c r="D46" s="48" t="s">
        <v>456</v>
      </c>
      <c r="E46" s="48"/>
      <c r="F46" s="48"/>
      <c r="G46" s="48">
        <v>65000</v>
      </c>
      <c r="H46" s="48"/>
      <c r="I46" s="48"/>
      <c r="J46" s="48">
        <v>225000</v>
      </c>
      <c r="K46" s="207">
        <v>300</v>
      </c>
      <c r="T46" s="35" t="s">
        <v>457</v>
      </c>
      <c r="U46" s="103">
        <f>(U40/2+U41/2)</f>
        <v>10.833333333333332</v>
      </c>
      <c r="X46" s="35" t="s">
        <v>415</v>
      </c>
      <c r="AB46" s="103"/>
    </row>
    <row r="47" spans="3:28">
      <c r="C47" s="48">
        <v>11</v>
      </c>
      <c r="D47" s="48" t="s">
        <v>458</v>
      </c>
      <c r="E47" s="48"/>
      <c r="F47" s="48"/>
      <c r="G47" s="48">
        <v>5000</v>
      </c>
      <c r="H47" s="48"/>
      <c r="I47" s="48"/>
      <c r="J47" s="48">
        <v>50000</v>
      </c>
      <c r="K47" s="48">
        <v>170</v>
      </c>
      <c r="T47" s="35" t="s">
        <v>459</v>
      </c>
      <c r="U47" s="103">
        <f>(U42/2+U43/2)</f>
        <v>4.6875</v>
      </c>
      <c r="X47" s="211" t="s">
        <v>353</v>
      </c>
      <c r="Y47" s="117">
        <f>COS(RADIANS($U$15))*SIN(RADIANS($U$15))*$U$21/(2*($U$21+1))</f>
        <v>0.1211407418255401</v>
      </c>
      <c r="Z47" s="117">
        <f>COS(RADIANS($U$15))*SIN(RADIANS($U$15))*$U$21/(2*($U$21+1))</f>
        <v>0.1211407418255401</v>
      </c>
      <c r="AA47" s="117">
        <f>COS(RADIANS($U$15))*SIN(RADIANS($U$15))*$U$25/(2*($U$25+1))</f>
        <v>9.6418141452980916E-2</v>
      </c>
      <c r="AB47" s="104">
        <f>COS(RADIANS($U$15))*SIN(RADIANS($U$15))*$U$25/(2*($U$25+1))</f>
        <v>9.6418141452980916E-2</v>
      </c>
    </row>
    <row r="48" spans="3:28">
      <c r="C48" s="48">
        <v>12</v>
      </c>
      <c r="D48" s="48" t="s">
        <v>460</v>
      </c>
      <c r="E48" s="48"/>
      <c r="F48" s="48"/>
      <c r="G48" s="48">
        <v>8500</v>
      </c>
      <c r="H48" s="48"/>
      <c r="I48" s="48"/>
      <c r="J48" s="48">
        <v>65000</v>
      </c>
      <c r="K48" s="48">
        <v>174</v>
      </c>
      <c r="T48" s="35"/>
      <c r="U48" s="103"/>
      <c r="X48" s="35" t="s">
        <v>461</v>
      </c>
      <c r="AB48" s="103"/>
    </row>
    <row r="49" spans="3:28">
      <c r="C49" s="48">
        <v>13</v>
      </c>
      <c r="D49" s="48" t="s">
        <v>462</v>
      </c>
      <c r="E49" s="48"/>
      <c r="F49" s="48"/>
      <c r="G49" s="48">
        <v>13000</v>
      </c>
      <c r="H49" s="48"/>
      <c r="I49" s="48"/>
      <c r="J49" s="48">
        <v>75000</v>
      </c>
      <c r="K49" s="48">
        <v>200</v>
      </c>
      <c r="Q49" s="34"/>
      <c r="R49" s="134">
        <v>1</v>
      </c>
      <c r="S49" s="134">
        <v>2</v>
      </c>
      <c r="T49">
        <v>3</v>
      </c>
      <c r="U49" s="103">
        <v>4</v>
      </c>
      <c r="X49" s="211" t="s">
        <v>463</v>
      </c>
      <c r="Y49">
        <f>$Y$9*Y15*Y18*Y22*$U$40*Y25*Y38/R50/Y40</f>
        <v>9927.8832545724799</v>
      </c>
      <c r="Z49">
        <f>$Y$9*Z15*Z18*Z22*$U$41*Z25*Z38/S50/Z40</f>
        <v>29163.157060306654</v>
      </c>
      <c r="AA49">
        <f>$Y$10*AA15*AA18*AA22*$U$42*AA25*AA38/T50/AA40</f>
        <v>13704.301771547907</v>
      </c>
      <c r="AB49" s="103">
        <f>$Y$10*AB15*AB18*AB22*$U$43*AB25*AB38/U50/AB40</f>
        <v>20119.081324187358</v>
      </c>
    </row>
    <row r="50" spans="3:28">
      <c r="C50" s="48">
        <v>14</v>
      </c>
      <c r="D50" s="48" t="s">
        <v>464</v>
      </c>
      <c r="E50" s="48"/>
      <c r="F50" s="48"/>
      <c r="G50" s="48">
        <v>22000</v>
      </c>
      <c r="H50" s="48"/>
      <c r="I50" s="48"/>
      <c r="J50" s="48">
        <v>77000</v>
      </c>
      <c r="K50" s="48">
        <v>140</v>
      </c>
      <c r="Q50" s="41" t="s">
        <v>465</v>
      </c>
      <c r="R50" s="135">
        <v>0.75</v>
      </c>
      <c r="S50" s="135">
        <v>0.75</v>
      </c>
      <c r="T50" s="135">
        <v>1.75</v>
      </c>
      <c r="U50" s="135">
        <v>1.75</v>
      </c>
      <c r="X50" s="211" t="s">
        <v>466</v>
      </c>
      <c r="Y50">
        <f>Y43*SQRT($Y$9*Y15*Y18*Y22*Y25*Y45/($U$40*R50*Y47))</f>
        <v>84637.193366312524</v>
      </c>
      <c r="Z50">
        <f>Z43*SQRT($Y$9*Z15*Z18*Z22*Z25*Z45/($U$40*S50*Z47))</f>
        <v>84637.193366312524</v>
      </c>
      <c r="AA50">
        <f>AA43*SQRT($Y$10*AA15*AA18*AA22*AA25*AA45/($U$42*T50*AA47))</f>
        <v>156828.34625919213</v>
      </c>
      <c r="AB50" s="103">
        <f>AB43*SQRT($Y$10*AB15*AB18*AB22*AB25*AB45/($U$42*U50*AB47))</f>
        <v>156828.34625919213</v>
      </c>
    </row>
    <row r="51" spans="3:28">
      <c r="C51" s="48">
        <v>15</v>
      </c>
      <c r="D51" s="48" t="s">
        <v>467</v>
      </c>
      <c r="E51" s="48"/>
      <c r="F51" s="48"/>
      <c r="G51" s="48">
        <v>27000</v>
      </c>
      <c r="H51" s="48"/>
      <c r="I51" s="48"/>
      <c r="J51" s="48">
        <v>92000</v>
      </c>
      <c r="K51" s="48">
        <v>229</v>
      </c>
      <c r="X51" s="211" t="s">
        <v>468</v>
      </c>
      <c r="Y51" s="117">
        <v>1</v>
      </c>
      <c r="Z51" s="117">
        <v>1</v>
      </c>
      <c r="AA51" s="117">
        <v>1</v>
      </c>
      <c r="AB51" s="104">
        <v>1</v>
      </c>
    </row>
    <row r="52" spans="3:28">
      <c r="C52" s="48">
        <v>16</v>
      </c>
      <c r="D52" s="48" t="s">
        <v>469</v>
      </c>
      <c r="E52" s="48"/>
      <c r="F52" s="48"/>
      <c r="G52" s="48">
        <v>31000</v>
      </c>
      <c r="H52" s="48"/>
      <c r="I52" s="48"/>
      <c r="J52" s="48">
        <v>103000</v>
      </c>
      <c r="K52" s="48">
        <v>269</v>
      </c>
      <c r="X52" s="35" t="s">
        <v>470</v>
      </c>
      <c r="AB52" s="103"/>
    </row>
    <row r="53" spans="3:28">
      <c r="C53" s="48">
        <v>17</v>
      </c>
      <c r="D53" s="48" t="s">
        <v>471</v>
      </c>
      <c r="E53" s="48"/>
      <c r="F53" s="48"/>
      <c r="G53" s="48">
        <v>5700</v>
      </c>
      <c r="H53" s="48"/>
      <c r="I53" s="48"/>
      <c r="J53" s="48">
        <v>30000</v>
      </c>
      <c r="K53" s="48"/>
      <c r="X53" s="211" t="s">
        <v>472</v>
      </c>
      <c r="Y53" cm="1">
        <f t="array" ref="Y53">_xlfn.IFS((U9/100)&lt;0.99,0.658-0.0759*LN(1-U9/100),(U9/100)&gt;=0.99,0.5-0.109*LN(1-(U9/100)))</f>
        <v>1.001963550272702</v>
      </c>
      <c r="Z53">
        <f>Y53</f>
        <v>1.001963550272702</v>
      </c>
      <c r="AA53">
        <f>Z53</f>
        <v>1.001963550272702</v>
      </c>
      <c r="AB53" s="103">
        <f>Y53</f>
        <v>1.001963550272702</v>
      </c>
    </row>
    <row r="54" spans="3:28">
      <c r="C54" s="48">
        <v>18</v>
      </c>
      <c r="D54" s="48" t="s">
        <v>473</v>
      </c>
      <c r="E54" s="48"/>
      <c r="F54" s="48"/>
      <c r="G54" s="48">
        <v>23600</v>
      </c>
      <c r="H54" s="48"/>
      <c r="I54" s="48"/>
      <c r="J54" s="48">
        <v>65000</v>
      </c>
      <c r="K54" s="48"/>
      <c r="X54" s="211" t="s">
        <v>474</v>
      </c>
      <c r="Y54" s="55">
        <f>Y57*(Y56^Y58)</f>
        <v>1.1860347429465559</v>
      </c>
      <c r="Z54" s="55">
        <f>Z57*(Z56^Z58)</f>
        <v>1.2996003759791244</v>
      </c>
      <c r="AA54" s="55">
        <f>AA57*(AA56^AA58)</f>
        <v>1.2996003759791244</v>
      </c>
      <c r="AB54" s="214">
        <f>AB57*(AB56^AB58)</f>
        <v>1.3433725943799051</v>
      </c>
    </row>
    <row r="55" spans="3:28">
      <c r="C55" s="48"/>
      <c r="D55" s="48"/>
      <c r="E55" s="48"/>
      <c r="F55" s="48"/>
      <c r="G55" s="48"/>
      <c r="H55" s="48"/>
      <c r="I55" s="48"/>
      <c r="J55" s="48"/>
      <c r="K55" s="48"/>
      <c r="X55" s="211" t="s">
        <v>475</v>
      </c>
      <c r="Y55" s="55">
        <f>Y59*(Y56^Y60)</f>
        <v>1.0394987013904402</v>
      </c>
      <c r="Z55" s="55">
        <f>Z59*(Z56^Z60)</f>
        <v>1.0556788025855495</v>
      </c>
      <c r="AA55" s="55">
        <f>AA59*(AA56^AA60)</f>
        <v>1.0556788025855495</v>
      </c>
      <c r="AB55" s="214">
        <f>AB59*(AB56^AB60)</f>
        <v>1.0616023241151786</v>
      </c>
    </row>
    <row r="56" spans="3:28">
      <c r="X56" s="211" t="s">
        <v>476</v>
      </c>
      <c r="Y56" s="216">
        <f>U5*60*1000*U8</f>
        <v>600000</v>
      </c>
      <c r="Z56" s="216">
        <f>$U$5/$U$21*60*1000*$U$8</f>
        <v>195918.36734693879</v>
      </c>
      <c r="AA56" s="216">
        <f>$U$5/$U$21*60*1000*$U$8</f>
        <v>195918.36734693879</v>
      </c>
      <c r="AB56" s="217">
        <f>U5/U21/U25*60*1000*U8</f>
        <v>130612.24489795919</v>
      </c>
    </row>
    <row r="57" spans="3:28">
      <c r="W57" t="s">
        <v>441</v>
      </c>
      <c r="X57" s="35" t="s">
        <v>477</v>
      </c>
      <c r="Y57" s="117">
        <v>3.5169999999999999</v>
      </c>
      <c r="Z57" s="117">
        <v>3.5169999999999999</v>
      </c>
      <c r="AA57" s="117">
        <v>3.5169999999999999</v>
      </c>
      <c r="AB57" s="117">
        <v>3.5169999999999999</v>
      </c>
    </row>
    <row r="58" spans="3:28">
      <c r="V58" t="s">
        <v>478</v>
      </c>
      <c r="W58" t="s">
        <v>441</v>
      </c>
      <c r="X58" s="35" t="s">
        <v>479</v>
      </c>
      <c r="Y58" s="117">
        <v>-8.1699999999999995E-2</v>
      </c>
      <c r="Z58" s="117">
        <v>-8.1699999999999995E-2</v>
      </c>
      <c r="AA58" s="117">
        <v>-8.1699999999999995E-2</v>
      </c>
      <c r="AB58" s="117">
        <v>-8.1699999999999995E-2</v>
      </c>
    </row>
    <row r="59" spans="3:28">
      <c r="V59" t="s">
        <v>480</v>
      </c>
      <c r="W59" t="s">
        <v>441</v>
      </c>
      <c r="X59" s="35" t="s">
        <v>481</v>
      </c>
      <c r="Y59" s="117">
        <v>1.2490000000000001</v>
      </c>
      <c r="Z59" s="117">
        <v>1.2490000000000001</v>
      </c>
      <c r="AA59" s="117">
        <v>1.2490000000000001</v>
      </c>
      <c r="AB59" s="117">
        <v>1.2490000000000001</v>
      </c>
    </row>
    <row r="60" spans="3:28">
      <c r="V60" t="s">
        <v>482</v>
      </c>
      <c r="W60" t="s">
        <v>441</v>
      </c>
      <c r="X60" s="35" t="s">
        <v>483</v>
      </c>
      <c r="Y60" s="117">
        <v>-1.38E-2</v>
      </c>
      <c r="Z60" s="117">
        <v>-1.38E-2</v>
      </c>
      <c r="AA60" s="117">
        <v>-1.38E-2</v>
      </c>
      <c r="AB60" s="117">
        <v>-1.38E-2</v>
      </c>
    </row>
    <row r="61" spans="3:28">
      <c r="X61" s="211" t="s">
        <v>484</v>
      </c>
      <c r="Y61" s="117">
        <v>1</v>
      </c>
      <c r="Z61" s="117">
        <v>1</v>
      </c>
      <c r="AA61" s="117">
        <v>1</v>
      </c>
      <c r="AB61" s="104">
        <v>1</v>
      </c>
    </row>
    <row r="62" spans="3:28">
      <c r="X62" s="35" t="s">
        <v>485</v>
      </c>
      <c r="AB62" s="103"/>
    </row>
    <row r="63" spans="3:28">
      <c r="X63" s="35" t="s">
        <v>486</v>
      </c>
      <c r="AB63" s="103"/>
    </row>
    <row r="64" spans="3:28">
      <c r="X64" s="211" t="s">
        <v>487</v>
      </c>
      <c r="Y64" s="218">
        <f>$P$14*Y54/(Y49*Y51*Y53)</f>
        <v>7.2540080319702289</v>
      </c>
      <c r="Z64" s="218">
        <f>$P$14*Z54/(Z49*Z51*Z53)</f>
        <v>2.7059051797328855</v>
      </c>
      <c r="AA64" s="218">
        <f>$Q$14*AA54/(AA49*AA51*AA53)</f>
        <v>5.7582457729208496</v>
      </c>
      <c r="AB64" s="219">
        <f>$Q$14*AB54/(AB49*AB51*AB53)</f>
        <v>4.0543909194119339</v>
      </c>
    </row>
    <row r="65" spans="24:39">
      <c r="X65" s="220" t="s">
        <v>488</v>
      </c>
      <c r="Y65" s="221">
        <f>$P$15*Y55*Y61/(Y50*Y51*Y53)</f>
        <v>2.3167148313055046</v>
      </c>
      <c r="Z65" s="221">
        <f>$P$15*Z55*Z61/(Z50*Z51*Z53)</f>
        <v>2.3527751749698051</v>
      </c>
      <c r="AA65" s="221">
        <f>$Q$15*AA55*AA61/(AA50*AA51*AA53)</f>
        <v>1.2697467784444452</v>
      </c>
      <c r="AB65" s="222">
        <f>$Q$15*AB55*AB61/(AB50*AB51*AB53)</f>
        <v>1.2768714572396165</v>
      </c>
      <c r="AE65" s="48"/>
      <c r="AF65" s="48"/>
      <c r="AG65" s="48"/>
      <c r="AH65" s="48"/>
      <c r="AI65" s="48"/>
      <c r="AJ65" s="48"/>
      <c r="AK65" s="48"/>
      <c r="AL65" s="48"/>
      <c r="AM65" s="48"/>
    </row>
    <row r="66" spans="24:39">
      <c r="AE66" s="48" t="s">
        <v>489</v>
      </c>
      <c r="AF66" s="48"/>
      <c r="AG66" s="48"/>
      <c r="AH66" s="48"/>
      <c r="AI66" s="48"/>
      <c r="AJ66" s="48"/>
      <c r="AK66" s="48"/>
      <c r="AL66" s="48"/>
      <c r="AM66" s="48"/>
    </row>
    <row r="67" spans="24:39">
      <c r="AE67" s="48"/>
      <c r="AF67" s="48"/>
      <c r="AG67" s="48" t="s">
        <v>490</v>
      </c>
      <c r="AH67" s="48" t="s">
        <v>491</v>
      </c>
      <c r="AI67" s="48" t="s">
        <v>492</v>
      </c>
      <c r="AJ67" s="48" t="s">
        <v>493</v>
      </c>
      <c r="AK67" s="48" t="s">
        <v>494</v>
      </c>
      <c r="AL67" s="48" t="s">
        <v>495</v>
      </c>
      <c r="AM67" s="48"/>
    </row>
    <row r="68" spans="24:39">
      <c r="AE68" s="48">
        <v>1</v>
      </c>
      <c r="AF68" s="48" t="s">
        <v>490</v>
      </c>
      <c r="AG68" s="48">
        <v>2300</v>
      </c>
      <c r="AH68" s="48">
        <v>2180</v>
      </c>
      <c r="AI68" s="48">
        <v>2160</v>
      </c>
      <c r="AJ68" s="48">
        <v>2100</v>
      </c>
      <c r="AK68" s="48">
        <v>1950</v>
      </c>
      <c r="AL68" s="48">
        <v>1900</v>
      </c>
      <c r="AM68" s="48"/>
    </row>
    <row r="69" spans="24:39">
      <c r="AE69" s="48">
        <v>2</v>
      </c>
      <c r="AF69" s="48" t="s">
        <v>491</v>
      </c>
      <c r="AG69" s="48">
        <v>2180</v>
      </c>
      <c r="AH69" s="48">
        <v>2090</v>
      </c>
      <c r="AI69" s="48">
        <v>2070</v>
      </c>
      <c r="AJ69" s="48">
        <v>2020</v>
      </c>
      <c r="AK69" s="48">
        <v>1900</v>
      </c>
      <c r="AL69" s="48">
        <v>1850</v>
      </c>
      <c r="AM69" s="48"/>
    </row>
    <row r="70" spans="24:39">
      <c r="AE70" s="48">
        <v>3</v>
      </c>
      <c r="AF70" s="48" t="s">
        <v>492</v>
      </c>
      <c r="AG70" s="48">
        <v>2160</v>
      </c>
      <c r="AH70" s="48">
        <v>2070</v>
      </c>
      <c r="AI70" s="48">
        <v>2050</v>
      </c>
      <c r="AJ70" s="48">
        <v>2000</v>
      </c>
      <c r="AK70" s="48">
        <v>1880</v>
      </c>
      <c r="AL70" s="48">
        <v>1830</v>
      </c>
      <c r="AM70" s="48"/>
    </row>
    <row r="71" spans="24:39">
      <c r="AE71" s="48">
        <v>4</v>
      </c>
      <c r="AF71" s="48" t="s">
        <v>493</v>
      </c>
      <c r="AG71" s="48">
        <v>2100</v>
      </c>
      <c r="AH71" s="48">
        <v>2020</v>
      </c>
      <c r="AI71" s="48">
        <v>2000</v>
      </c>
      <c r="AJ71" s="48">
        <v>1960</v>
      </c>
      <c r="AK71" s="48">
        <v>1850</v>
      </c>
      <c r="AL71" s="48">
        <v>1800</v>
      </c>
      <c r="AM71" s="48"/>
    </row>
    <row r="72" spans="24:39">
      <c r="AE72" s="48">
        <v>5</v>
      </c>
      <c r="AF72" s="48" t="s">
        <v>494</v>
      </c>
      <c r="AG72" s="48">
        <v>1950</v>
      </c>
      <c r="AH72" s="48">
        <v>1900</v>
      </c>
      <c r="AI72" s="48">
        <v>1880</v>
      </c>
      <c r="AJ72" s="48">
        <v>1850</v>
      </c>
      <c r="AK72" s="48">
        <v>1750</v>
      </c>
      <c r="AL72" s="48">
        <v>1700</v>
      </c>
      <c r="AM72" s="48"/>
    </row>
    <row r="73" spans="24:39">
      <c r="AE73" s="48">
        <v>6</v>
      </c>
      <c r="AF73" s="48" t="s">
        <v>495</v>
      </c>
      <c r="AG73" s="48">
        <v>1900</v>
      </c>
      <c r="AH73" s="48">
        <v>1850</v>
      </c>
      <c r="AI73" s="48">
        <v>1830</v>
      </c>
      <c r="AJ73" s="48">
        <v>1800</v>
      </c>
      <c r="AK73" s="48">
        <v>1700</v>
      </c>
      <c r="AL73" s="48">
        <v>1650</v>
      </c>
      <c r="AM73" s="48"/>
    </row>
    <row r="75" spans="24:39">
      <c r="Z75" s="225"/>
      <c r="AA75" s="225"/>
    </row>
    <row r="76" spans="24:39">
      <c r="Z76" s="225"/>
      <c r="AA76" s="225"/>
    </row>
    <row r="77" spans="24:39">
      <c r="Z77" s="225"/>
      <c r="AA77" s="226"/>
    </row>
    <row r="78" spans="24:39">
      <c r="Z78" s="48" t="s">
        <v>496</v>
      </c>
      <c r="AA78" s="48"/>
      <c r="AB78" s="48"/>
      <c r="AC78" s="48"/>
      <c r="AD78" s="48"/>
      <c r="AE78" s="48"/>
      <c r="AF78" s="48"/>
      <c r="AG78" s="48"/>
    </row>
    <row r="79" spans="24:39">
      <c r="Z79" s="48"/>
      <c r="AA79" s="52" t="s">
        <v>497</v>
      </c>
      <c r="AB79" s="53">
        <v>1000</v>
      </c>
      <c r="AC79" s="48"/>
      <c r="AD79" s="53">
        <v>1200000</v>
      </c>
      <c r="AE79" s="48"/>
      <c r="AF79" s="48"/>
      <c r="AG79" s="48" t="s">
        <v>498</v>
      </c>
    </row>
    <row r="80" spans="24:39">
      <c r="Z80" s="48"/>
      <c r="AA80" s="48"/>
      <c r="AB80" s="48" t="s">
        <v>499</v>
      </c>
      <c r="AC80" s="48" t="s">
        <v>426</v>
      </c>
      <c r="AD80" s="48" t="s">
        <v>499</v>
      </c>
      <c r="AE80" s="48" t="s">
        <v>426</v>
      </c>
      <c r="AF80" s="48"/>
      <c r="AG80" s="48"/>
    </row>
    <row r="81" spans="26:33">
      <c r="Z81" s="48">
        <v>1</v>
      </c>
      <c r="AA81" s="48" t="s">
        <v>500</v>
      </c>
      <c r="AB81" s="48">
        <v>9.4518000000000004</v>
      </c>
      <c r="AC81" s="48">
        <v>-0.14799999999999999</v>
      </c>
      <c r="AD81" s="48">
        <v>1.3557999999999999</v>
      </c>
      <c r="AE81" s="48">
        <v>-1.78E-2</v>
      </c>
      <c r="AF81" s="48"/>
      <c r="AG81" s="53" t="e">
        <f>AB81*$H$25^AC81</f>
        <v>#DIV/0!</v>
      </c>
    </row>
    <row r="82" spans="26:33">
      <c r="Z82" s="48">
        <v>2</v>
      </c>
      <c r="AA82" s="48" t="s">
        <v>501</v>
      </c>
      <c r="AB82" s="48">
        <v>6.1513999999999998</v>
      </c>
      <c r="AC82" s="48">
        <v>-0.1192</v>
      </c>
      <c r="AD82" s="48">
        <v>1.3557999999999999</v>
      </c>
      <c r="AE82" s="48">
        <v>-1.78E-2</v>
      </c>
      <c r="AF82" s="48"/>
      <c r="AG82" s="53" t="e">
        <f>AB82*$H$25^AC82</f>
        <v>#DIV/0!</v>
      </c>
    </row>
    <row r="83" spans="26:33">
      <c r="Z83" s="48">
        <v>3</v>
      </c>
      <c r="AA83" s="48" t="s">
        <v>502</v>
      </c>
      <c r="AB83" s="48">
        <v>4.9039999999999999</v>
      </c>
      <c r="AC83" s="48">
        <v>-0.1045</v>
      </c>
      <c r="AD83" s="48">
        <v>1.3557999999999999</v>
      </c>
      <c r="AE83" s="48">
        <v>-1.78E-2</v>
      </c>
      <c r="AF83" s="48"/>
      <c r="AG83" s="53" t="e">
        <f>AB83*$H$25^AC83</f>
        <v>#DIV/0!</v>
      </c>
    </row>
    <row r="84" spans="26:33">
      <c r="Z84" s="48">
        <v>4</v>
      </c>
      <c r="AA84" s="48" t="s">
        <v>503</v>
      </c>
      <c r="AB84" s="48">
        <v>3.5169999999999999</v>
      </c>
      <c r="AC84" s="48">
        <v>-8.1699999999999995E-2</v>
      </c>
      <c r="AD84" s="48">
        <v>1.3557999999999999</v>
      </c>
      <c r="AE84" s="48">
        <v>-1.78E-2</v>
      </c>
      <c r="AF84" s="48"/>
      <c r="AG84" s="53" t="e">
        <f>AB84*$H$25^AC84</f>
        <v>#DIV/0!</v>
      </c>
    </row>
    <row r="85" spans="26:33">
      <c r="Z85" s="48">
        <v>5</v>
      </c>
      <c r="AA85" s="48" t="s">
        <v>504</v>
      </c>
      <c r="AB85" s="48">
        <v>2.3193999999999999</v>
      </c>
      <c r="AC85" s="48">
        <v>-5.3800000000000001E-2</v>
      </c>
      <c r="AD85" s="48">
        <v>1.3557999999999999</v>
      </c>
      <c r="AE85" s="48">
        <v>-1.78E-2</v>
      </c>
      <c r="AF85" s="48"/>
      <c r="AG85" s="53" t="e">
        <f>AB85*$H$25^AC85</f>
        <v>#DIV/0!</v>
      </c>
    </row>
    <row r="86" spans="26:33">
      <c r="Z86" s="48"/>
      <c r="AA86" s="48"/>
      <c r="AB86" s="48"/>
      <c r="AC86" s="48" t="s">
        <v>505</v>
      </c>
      <c r="AD86" s="48">
        <v>1.6831</v>
      </c>
      <c r="AE86" s="48">
        <v>-3.2300000000000002E-2</v>
      </c>
      <c r="AF86" s="48"/>
      <c r="AG86" s="48"/>
    </row>
    <row r="87" spans="26:33">
      <c r="Z87" s="48" t="s">
        <v>506</v>
      </c>
      <c r="AA87" s="48"/>
      <c r="AB87" s="48"/>
      <c r="AC87" s="53"/>
      <c r="AD87" s="48"/>
      <c r="AE87" s="48"/>
      <c r="AF87" s="48"/>
      <c r="AG87" s="48"/>
    </row>
    <row r="88" spans="26:33">
      <c r="Z88" s="48"/>
      <c r="AA88" s="52" t="s">
        <v>497</v>
      </c>
      <c r="AB88" s="53">
        <v>10000</v>
      </c>
      <c r="AC88" s="48"/>
      <c r="AD88" s="53">
        <v>10000000</v>
      </c>
      <c r="AE88" s="48"/>
      <c r="AF88" s="48"/>
      <c r="AG88" s="48"/>
    </row>
    <row r="89" spans="26:33">
      <c r="Z89" s="48"/>
      <c r="AA89" s="48"/>
      <c r="AB89" s="48" t="s">
        <v>499</v>
      </c>
      <c r="AC89" s="48" t="s">
        <v>426</v>
      </c>
      <c r="AD89" s="48" t="s">
        <v>499</v>
      </c>
      <c r="AE89" s="48" t="s">
        <v>426</v>
      </c>
      <c r="AF89" s="48"/>
      <c r="AG89" s="48"/>
    </row>
    <row r="90" spans="26:33">
      <c r="Z90" s="48">
        <v>1</v>
      </c>
      <c r="AA90" s="48" t="s">
        <v>507</v>
      </c>
      <c r="AB90" s="48">
        <v>2.4660000000000002</v>
      </c>
      <c r="AC90" s="48">
        <v>-5.6000000000000001E-2</v>
      </c>
      <c r="AD90" s="48">
        <v>1.4488000000000001</v>
      </c>
      <c r="AE90" s="48">
        <v>-2.3E-2</v>
      </c>
      <c r="AF90" s="48"/>
      <c r="AG90" s="53" t="e">
        <f>AB90*$H$34^AC90</f>
        <v>#DIV/0!</v>
      </c>
    </row>
    <row r="91" spans="26:33">
      <c r="Z91" s="48">
        <v>2</v>
      </c>
      <c r="AA91" s="48" t="s">
        <v>503</v>
      </c>
      <c r="AB91" s="48">
        <v>1.2490000000000001</v>
      </c>
      <c r="AC91" s="48">
        <v>-1.38E-2</v>
      </c>
      <c r="AD91" s="48">
        <v>1.4488000000000001</v>
      </c>
      <c r="AE91" s="48">
        <v>-2.3E-2</v>
      </c>
      <c r="AF91" s="48"/>
      <c r="AG91" s="53" t="e">
        <f>AB91*$H$34^AC91</f>
        <v>#DIV/0!</v>
      </c>
    </row>
    <row r="92" spans="26:33">
      <c r="Z92" s="48"/>
      <c r="AA92" s="48"/>
      <c r="AB92" s="48"/>
      <c r="AC92" s="48"/>
      <c r="AD92" s="48"/>
      <c r="AE92" s="48"/>
      <c r="AF92" s="48"/>
      <c r="AG92" s="48"/>
    </row>
    <row r="93" spans="26:33">
      <c r="Z93" s="225"/>
      <c r="AA93" s="226"/>
    </row>
    <row r="94" spans="26:33">
      <c r="Z94" s="225"/>
      <c r="AA94" s="226"/>
    </row>
    <row r="95" spans="26:33">
      <c r="Z95" s="225"/>
      <c r="AA95" s="226"/>
    </row>
    <row r="96" spans="26:33">
      <c r="Z96" s="225"/>
      <c r="AA96" s="226"/>
    </row>
    <row r="97" spans="26:27">
      <c r="Z97" s="225"/>
      <c r="AA97" s="226"/>
    </row>
    <row r="98" spans="26:27">
      <c r="Z98" s="225"/>
      <c r="AA98" s="226"/>
    </row>
    <row r="99" spans="26:27">
      <c r="Z99" s="225"/>
      <c r="AA99" s="226"/>
    </row>
    <row r="100" spans="26:27">
      <c r="Z100" s="225"/>
      <c r="AA100" s="226"/>
    </row>
    <row r="101" spans="26:27">
      <c r="Z101" s="225"/>
      <c r="AA101" s="226"/>
    </row>
  </sheetData>
  <mergeCells count="3">
    <mergeCell ref="C26:D26"/>
    <mergeCell ref="C27:D27"/>
    <mergeCell ref="C28:D28"/>
  </mergeCells>
  <phoneticPr fontId="21" type="noConversion"/>
  <pageMargins left="0.7" right="0.7" top="0.75" bottom="0.75" header="0.3" footer="0.3"/>
  <drawing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B69E0E-0EB7-40A4-8A1F-B2467417E029}">
  <sheetPr codeName="Sheet6"/>
  <dimension ref="A1:AG72"/>
  <sheetViews>
    <sheetView tabSelected="1" zoomScale="59" zoomScaleNormal="130" workbookViewId="0">
      <selection activeCell="H85" sqref="H85"/>
    </sheetView>
  </sheetViews>
  <sheetFormatPr defaultRowHeight="14.45" outlineLevelRow="1"/>
  <cols>
    <col min="2" max="2" width="32.7109375" customWidth="1"/>
    <col min="3" max="3" width="13.42578125" customWidth="1"/>
    <col min="4" max="4" width="3.42578125" customWidth="1"/>
    <col min="5" max="6" width="11.42578125" customWidth="1"/>
    <col min="7" max="7" width="3" customWidth="1"/>
    <col min="8" max="8" width="31.140625" customWidth="1"/>
    <col min="9" max="14" width="20.85546875" customWidth="1"/>
    <col min="16" max="16" width="10.28515625" customWidth="1"/>
  </cols>
  <sheetData>
    <row r="1" spans="1:33" ht="14.45" customHeight="1"/>
    <row r="2" spans="1:33" ht="26.45" customHeight="1">
      <c r="B2" s="302" t="s">
        <v>152</v>
      </c>
      <c r="C2" s="303"/>
      <c r="E2" s="272" t="s">
        <v>508</v>
      </c>
      <c r="F2" s="296"/>
      <c r="H2" s="119"/>
      <c r="I2" s="123" t="s">
        <v>203</v>
      </c>
      <c r="J2" s="123" t="s">
        <v>206</v>
      </c>
      <c r="K2" s="123" t="s">
        <v>509</v>
      </c>
      <c r="L2" s="123" t="s">
        <v>510</v>
      </c>
      <c r="M2" s="123" t="s">
        <v>511</v>
      </c>
      <c r="N2" s="123" t="s">
        <v>512</v>
      </c>
      <c r="P2" s="29"/>
      <c r="Q2" s="29"/>
    </row>
    <row r="3" spans="1:33">
      <c r="A3" s="299" t="s">
        <v>44</v>
      </c>
      <c r="B3" s="173" t="s">
        <v>513</v>
      </c>
      <c r="C3" s="181">
        <v>0</v>
      </c>
      <c r="E3" s="188" t="s">
        <v>514</v>
      </c>
      <c r="F3" s="122">
        <f>C25*(C15*60*1000)</f>
        <v>600000</v>
      </c>
      <c r="H3" s="178" t="s">
        <v>515</v>
      </c>
      <c r="I3" s="128">
        <f>C9*0.004448</f>
        <v>1.1187306777261001</v>
      </c>
      <c r="J3" s="128">
        <f>C10*0.004448</f>
        <v>1.1187306777261001</v>
      </c>
      <c r="K3" s="128">
        <f>C11*0.004448</f>
        <v>24.574642434748988</v>
      </c>
      <c r="L3" s="128">
        <f>C12*0.004448</f>
        <v>5.0104616389103551</v>
      </c>
      <c r="M3" s="128">
        <f>C13*0.004448</f>
        <v>9.8173473511438818</v>
      </c>
      <c r="N3" s="128">
        <f>C14*0.004448</f>
        <v>9.8173473511438818</v>
      </c>
      <c r="Q3" s="255"/>
      <c r="AG3" t="b">
        <v>1</v>
      </c>
    </row>
    <row r="4" spans="1:33">
      <c r="A4" s="300"/>
      <c r="B4" s="125" t="s">
        <v>516</v>
      </c>
      <c r="C4" s="248">
        <v>0</v>
      </c>
      <c r="E4" s="125" t="s">
        <v>517</v>
      </c>
      <c r="F4" s="189">
        <f>C25*(C16*60*1000)</f>
        <v>195918.36734693879</v>
      </c>
      <c r="H4" s="178" t="s">
        <v>518</v>
      </c>
      <c r="I4" s="129">
        <f>C3*0.004448</f>
        <v>0</v>
      </c>
      <c r="J4" s="129">
        <f>C4*0.004448</f>
        <v>0</v>
      </c>
      <c r="K4" s="129">
        <f>C5*0.004448</f>
        <v>0</v>
      </c>
      <c r="L4" s="129">
        <f>C6*0.004448</f>
        <v>0</v>
      </c>
      <c r="M4" s="129">
        <f>C7*0.004448</f>
        <v>0</v>
      </c>
      <c r="N4" s="129">
        <f>C8*0.004448</f>
        <v>0</v>
      </c>
      <c r="Q4" s="255"/>
      <c r="AG4" t="b">
        <v>0</v>
      </c>
    </row>
    <row r="5" spans="1:33">
      <c r="A5" s="300"/>
      <c r="B5" s="125" t="s">
        <v>519</v>
      </c>
      <c r="C5" s="248">
        <v>0</v>
      </c>
      <c r="E5" s="126" t="s">
        <v>520</v>
      </c>
      <c r="F5" s="190">
        <f>C25*(C17*60*1000)</f>
        <v>130612.24489795919</v>
      </c>
      <c r="H5" s="178" t="s">
        <v>521</v>
      </c>
      <c r="I5" s="130">
        <f>IF(I$22="Ball",_xlfn.XLOOKUP(I8,Table2[[   ]],Table2[d '[mm']]), _xlfn.XLOOKUP(I8,Table3[Column4],Table3[d]))</f>
        <v>20</v>
      </c>
      <c r="J5" s="130">
        <f>IF(J$22="Ball",_xlfn.XLOOKUP(J8,Table2[[   ]],Table2[d '[mm']]), _xlfn.XLOOKUP(J8,Table3[Column4],Table3[d]))</f>
        <v>15</v>
      </c>
      <c r="K5" s="130">
        <f>IF(K$22="Ball",_xlfn.XLOOKUP(K8,Table2[[   ]],Table2[d '[mm']]), _xlfn.XLOOKUP(K8,Table3[Column4],Table3[d]))</f>
        <v>70</v>
      </c>
      <c r="L5" s="130">
        <f>IF(L$22="Ball",_xlfn.XLOOKUP(L8,Table2[[   ]],Table2[d '[mm']]), _xlfn.XLOOKUP(L8,Table3[Column4],Table3[d]))</f>
        <v>45</v>
      </c>
      <c r="M5" s="130">
        <f>IF(M$22="Ball",_xlfn.XLOOKUP(M8,Table2[[   ]],Table2[d '[mm']]), _xlfn.XLOOKUP(M8,Table3[Column4],Table3[d]))</f>
        <v>35</v>
      </c>
      <c r="N5" s="130">
        <f>IF(N$22="Ball",_xlfn.XLOOKUP(N8,Table2[[   ]],Table2[d '[mm']]), _xlfn.XLOOKUP(N8,Table3[Column4],Table3[d]))</f>
        <v>35</v>
      </c>
      <c r="Q5" s="153"/>
    </row>
    <row r="6" spans="1:33">
      <c r="A6" s="300"/>
      <c r="B6" s="125" t="s">
        <v>522</v>
      </c>
      <c r="C6" s="248">
        <v>0</v>
      </c>
      <c r="H6" s="178" t="s">
        <v>523</v>
      </c>
      <c r="I6" s="130">
        <f>IF(I$22="Ball",_xlfn.XLOOKUP(I8,Table2[[   ]],Table2[D '[mm']2]), _xlfn.XLOOKUP(I8,Table3[Column4],Table3[D2]))</f>
        <v>32</v>
      </c>
      <c r="J6" s="130">
        <f>IF(J$22="Ball",_xlfn.XLOOKUP(J8,Table2[[   ]],Table2[D '[mm']2]), _xlfn.XLOOKUP(J8,Table3[Column4],Table3[D2]))</f>
        <v>24</v>
      </c>
      <c r="K6" s="130">
        <f>IF(K$22="Ball",_xlfn.XLOOKUP(K8,Table2[[   ]],Table2[D '[mm']2]), _xlfn.XLOOKUP(K8,Table3[Column4],Table3[D2]))</f>
        <v>110</v>
      </c>
      <c r="L6" s="130">
        <f>IF(L$22="Ball",_xlfn.XLOOKUP(L8,Table2[[   ]],Table2[D '[mm']2]), _xlfn.XLOOKUP(L8,Table3[Column4],Table3[D2]))</f>
        <v>58</v>
      </c>
      <c r="M6" s="130">
        <f>IF(M$22="Ball",_xlfn.XLOOKUP(M8,Table2[[   ]],Table2[D '[mm']2]), _xlfn.XLOOKUP(M8,Table3[Column4],Table3[D2]))</f>
        <v>55</v>
      </c>
      <c r="N6" s="130">
        <f>IF(N$22="Ball",_xlfn.XLOOKUP(N8,Table2[[   ]],Table2[D '[mm']2]), _xlfn.XLOOKUP(N8,Table3[Column4],Table3[D2]))</f>
        <v>55</v>
      </c>
      <c r="Q6" s="255"/>
    </row>
    <row r="7" spans="1:33" ht="14.45" customHeight="1">
      <c r="A7" s="300"/>
      <c r="B7" s="125" t="s">
        <v>524</v>
      </c>
      <c r="C7" s="249">
        <v>0</v>
      </c>
      <c r="E7" s="180" t="s">
        <v>525</v>
      </c>
      <c r="F7" s="245">
        <f>IF(C27=FALSE,(C24/100)^(1/6),C24/100)</f>
        <v>0.99</v>
      </c>
      <c r="H7" s="178" t="s">
        <v>526</v>
      </c>
      <c r="I7" s="130">
        <f>IF(I$22="Ball",_xlfn.XLOOKUP(I8,Table2[[   ]],Table2[B '[mm']]), _xlfn.XLOOKUP(I8,Table3[Column4],Table3[B]))</f>
        <v>7</v>
      </c>
      <c r="J7" s="130">
        <f>IF(J$22="Ball",_xlfn.XLOOKUP(J8,Table2[[   ]],Table2[B '[mm']]), _xlfn.XLOOKUP(J8,Table3[Column4],Table3[B]))</f>
        <v>5</v>
      </c>
      <c r="K7" s="130">
        <f>IF(K$22="Ball",_xlfn.XLOOKUP(K8,Table2[[   ]],Table2[B '[mm']]), _xlfn.XLOOKUP(K8,Table3[Column4],Table3[B]))</f>
        <v>13</v>
      </c>
      <c r="L7" s="130">
        <f>IF(L$22="Ball",_xlfn.XLOOKUP(L8,Table2[[   ]],Table2[B '[mm']]), _xlfn.XLOOKUP(L8,Table3[Column4],Table3[B]))</f>
        <v>7</v>
      </c>
      <c r="M7" s="130">
        <f>IF(M$22="Ball",_xlfn.XLOOKUP(M8,Table2[[   ]],Table2[B '[mm']]), _xlfn.XLOOKUP(M8,Table3[Column4],Table3[B]))</f>
        <v>10</v>
      </c>
      <c r="N7" s="130">
        <f>IF(N$22="Ball",_xlfn.XLOOKUP(N8,Table2[[   ]],Table2[B '[mm']]), _xlfn.XLOOKUP(N8,Table3[Column4],Table3[B]))</f>
        <v>10</v>
      </c>
    </row>
    <row r="8" spans="1:33">
      <c r="A8" s="300"/>
      <c r="B8" s="126" t="s">
        <v>527</v>
      </c>
      <c r="C8" s="184">
        <v>0</v>
      </c>
      <c r="H8" s="178" t="s">
        <v>528</v>
      </c>
      <c r="I8" s="131" t="str">
        <f t="shared" ref="I8:N8" si="0">I72</f>
        <v xml:space="preserve">61804 </v>
      </c>
      <c r="J8" s="131" t="str">
        <f t="shared" si="0"/>
        <v xml:space="preserve">61802 </v>
      </c>
      <c r="K8" s="131" t="str">
        <f t="shared" si="0"/>
        <v>* 16014</v>
      </c>
      <c r="L8" s="131" t="str">
        <f t="shared" si="0"/>
        <v xml:space="preserve">61809 </v>
      </c>
      <c r="M8" s="131" t="str">
        <f t="shared" si="0"/>
        <v xml:space="preserve">61907 </v>
      </c>
      <c r="N8" s="131" t="str">
        <f t="shared" si="0"/>
        <v xml:space="preserve">61907 </v>
      </c>
    </row>
    <row r="9" spans="1:33">
      <c r="A9" s="300"/>
      <c r="B9" s="125" t="s">
        <v>529</v>
      </c>
      <c r="C9" s="172">
        <f>ABS('Input-Output'!B30)</f>
        <v>251.5131919348247</v>
      </c>
      <c r="E9" s="297" t="s">
        <v>499</v>
      </c>
      <c r="F9" s="297"/>
    </row>
    <row r="10" spans="1:33">
      <c r="A10" s="300"/>
      <c r="B10" s="125" t="s">
        <v>530</v>
      </c>
      <c r="C10" s="224">
        <f>ABS('Input-Output'!B61)</f>
        <v>251.5131919348247</v>
      </c>
      <c r="E10" s="173" t="s">
        <v>531</v>
      </c>
      <c r="F10" s="80">
        <v>3.3333333333333335</v>
      </c>
    </row>
    <row r="11" spans="1:33">
      <c r="A11" s="300"/>
      <c r="B11" s="125" t="s">
        <v>532</v>
      </c>
      <c r="C11" s="172">
        <f>ABS('Input-Output'!B32)</f>
        <v>5524.8746481000426</v>
      </c>
      <c r="E11" s="126" t="s">
        <v>533</v>
      </c>
      <c r="F11" s="78">
        <v>3</v>
      </c>
    </row>
    <row r="12" spans="1:33">
      <c r="A12" s="300"/>
      <c r="B12" s="125" t="s">
        <v>534</v>
      </c>
      <c r="C12" s="224">
        <f>ABS('Input-Output'!B33)</f>
        <v>1126.4527065895584</v>
      </c>
    </row>
    <row r="13" spans="1:33">
      <c r="A13" s="300"/>
      <c r="B13" s="125" t="s">
        <v>535</v>
      </c>
      <c r="C13" s="172">
        <f>ABS('Input-Output'!B31)</f>
        <v>2207.1374440521317</v>
      </c>
      <c r="E13" s="272" t="s">
        <v>536</v>
      </c>
      <c r="F13" s="274"/>
    </row>
    <row r="14" spans="1:33" ht="14.45" customHeight="1">
      <c r="A14" s="301"/>
      <c r="B14" s="125" t="s">
        <v>537</v>
      </c>
      <c r="C14" s="223">
        <f>ABS('Input-Output'!B62)</f>
        <v>2207.1374440521317</v>
      </c>
      <c r="E14" s="173" t="s">
        <v>538</v>
      </c>
      <c r="F14" s="102">
        <v>1</v>
      </c>
    </row>
    <row r="15" spans="1:33">
      <c r="A15" s="299" t="s">
        <v>539</v>
      </c>
      <c r="B15" s="174" t="s">
        <v>540</v>
      </c>
      <c r="C15" s="120">
        <f>'Input-Output'!B34</f>
        <v>10</v>
      </c>
      <c r="E15" s="126" t="s">
        <v>541</v>
      </c>
      <c r="F15" s="78">
        <v>1.2</v>
      </c>
    </row>
    <row r="16" spans="1:33">
      <c r="A16" s="300"/>
      <c r="B16" s="175" t="s">
        <v>542</v>
      </c>
      <c r="C16" s="187">
        <f>'Input-Output'!B35</f>
        <v>3.2653061224489797</v>
      </c>
    </row>
    <row r="17" spans="1:15">
      <c r="A17" s="301"/>
      <c r="B17" s="176" t="s">
        <v>543</v>
      </c>
      <c r="C17" s="121">
        <f>'Input-Output'!B36</f>
        <v>2.1768707482993199</v>
      </c>
      <c r="E17" s="142" t="s">
        <v>149</v>
      </c>
    </row>
    <row r="18" spans="1:15">
      <c r="A18" s="298" t="s">
        <v>544</v>
      </c>
      <c r="B18" s="185" t="s">
        <v>545</v>
      </c>
      <c r="C18" s="251">
        <f>('Input-Output'!B54)*25.4</f>
        <v>17.779999999999998</v>
      </c>
      <c r="E18" s="143" t="s">
        <v>546</v>
      </c>
    </row>
    <row r="19" spans="1:15">
      <c r="A19" s="298"/>
      <c r="B19" s="186" t="s">
        <v>547</v>
      </c>
      <c r="C19" s="252">
        <f>('Input-Output'!B55)*25.4</f>
        <v>7.4677039088474002</v>
      </c>
      <c r="E19" s="144" t="s">
        <v>548</v>
      </c>
    </row>
    <row r="20" spans="1:15">
      <c r="A20" s="298"/>
      <c r="B20" s="186" t="s">
        <v>549</v>
      </c>
      <c r="C20" s="252">
        <f>('Input-Output'!B56)*25.4</f>
        <v>35.271952760601209</v>
      </c>
      <c r="E20" s="145" t="s">
        <v>550</v>
      </c>
      <c r="I20" s="272" t="s">
        <v>551</v>
      </c>
      <c r="J20" s="273"/>
      <c r="K20" s="273"/>
      <c r="L20" s="273"/>
      <c r="M20" s="273"/>
      <c r="N20" s="274"/>
    </row>
    <row r="21" spans="1:15">
      <c r="A21" s="298"/>
      <c r="B21" s="175" t="s">
        <v>552</v>
      </c>
      <c r="C21" s="253">
        <f>('Input-Output'!B57)*25.4</f>
        <v>32.814909216672369</v>
      </c>
      <c r="E21" s="146" t="s">
        <v>553</v>
      </c>
      <c r="H21" s="1"/>
      <c r="I21" s="81" t="s">
        <v>203</v>
      </c>
      <c r="J21" s="81" t="s">
        <v>206</v>
      </c>
      <c r="K21" s="81" t="s">
        <v>509</v>
      </c>
      <c r="L21" s="81" t="s">
        <v>510</v>
      </c>
      <c r="M21" s="81" t="s">
        <v>511</v>
      </c>
      <c r="N21" s="81" t="s">
        <v>512</v>
      </c>
    </row>
    <row r="22" spans="1:15" ht="14.45" customHeight="1">
      <c r="A22" s="298"/>
      <c r="B22" s="175" t="s">
        <v>554</v>
      </c>
      <c r="C22" s="252">
        <f>('Input-Output'!B58)*25.4</f>
        <v>24.859783396575498</v>
      </c>
      <c r="H22" s="177" t="s">
        <v>555</v>
      </c>
      <c r="I22" s="179" t="s">
        <v>533</v>
      </c>
      <c r="J22" s="179" t="s">
        <v>533</v>
      </c>
      <c r="K22" s="179" t="s">
        <v>533</v>
      </c>
      <c r="L22" s="179" t="s">
        <v>533</v>
      </c>
      <c r="M22" s="179" t="s">
        <v>533</v>
      </c>
      <c r="N22" s="179" t="s">
        <v>533</v>
      </c>
    </row>
    <row r="23" spans="1:15" ht="14.45" customHeight="1">
      <c r="A23" s="278"/>
      <c r="B23" s="175" t="s">
        <v>556</v>
      </c>
      <c r="C23" s="250">
        <f>('Input-Output'!B59)*25.4</f>
        <v>24.859783396575498</v>
      </c>
      <c r="H23" s="231" t="s">
        <v>557</v>
      </c>
      <c r="I23" s="115">
        <f t="shared" ref="I23:N23" si="1">VLOOKUP(I22,$E$10:$F$11,2,FALSE)</f>
        <v>3</v>
      </c>
      <c r="J23" s="115">
        <f t="shared" si="1"/>
        <v>3</v>
      </c>
      <c r="K23" s="115">
        <f t="shared" si="1"/>
        <v>3</v>
      </c>
      <c r="L23" s="115">
        <f t="shared" si="1"/>
        <v>3</v>
      </c>
      <c r="M23" s="115">
        <f t="shared" si="1"/>
        <v>3</v>
      </c>
      <c r="N23" s="116">
        <f t="shared" si="1"/>
        <v>3</v>
      </c>
      <c r="O23" s="290" t="s">
        <v>558</v>
      </c>
    </row>
    <row r="24" spans="1:15">
      <c r="A24" s="278" t="s">
        <v>546</v>
      </c>
      <c r="B24" s="174" t="s">
        <v>559</v>
      </c>
      <c r="C24" s="181">
        <v>99</v>
      </c>
      <c r="H24" s="231" t="s">
        <v>560</v>
      </c>
      <c r="I24" s="115">
        <f>F3/(10^6)</f>
        <v>0.6</v>
      </c>
      <c r="J24" s="115">
        <f>F3/(10^6)</f>
        <v>0.6</v>
      </c>
      <c r="K24" s="115">
        <f>F4/(10^6)</f>
        <v>0.19591836734693879</v>
      </c>
      <c r="L24" s="115">
        <f>F4/(10^6)</f>
        <v>0.19591836734693879</v>
      </c>
      <c r="M24" s="115">
        <f>F5/(10^6)</f>
        <v>0.1306122448979592</v>
      </c>
      <c r="N24" s="116">
        <f>F5/(10^6)</f>
        <v>0.1306122448979592</v>
      </c>
      <c r="O24" s="291"/>
    </row>
    <row r="25" spans="1:15">
      <c r="A25" s="279"/>
      <c r="B25" s="175" t="s">
        <v>561</v>
      </c>
      <c r="C25" s="182">
        <v>1</v>
      </c>
      <c r="H25" s="231" t="s">
        <v>562</v>
      </c>
      <c r="I25" s="115">
        <f>(0.004448*$C$26*C9*((I24/(0.02+(4.439*(LN(1/$F$7)^(1/1.483)))))^(1/I23)))</f>
        <v>1.8768085323640502</v>
      </c>
      <c r="J25" s="115">
        <f>C26*C10*((J24/(0.02+(4.439*(LN(1/F7)^(1/1.483)))))^(1/J23))*4.448/1000</f>
        <v>1.8768085323640502</v>
      </c>
      <c r="K25" s="115">
        <f>C26*C11*((K24/(0.02+(4.439*(LN(1/F7)^(1/1.483)))))^(1/K23))*4.448/1000</f>
        <v>28.389403234595772</v>
      </c>
      <c r="L25" s="115">
        <f>C26*C12*((L24/(0.02+(4.439*(LN(1/F7)^(1/1.483)))))^(1/L23))*4.448/1000</f>
        <v>5.7882435618824744</v>
      </c>
      <c r="M25" s="115">
        <f>C26*C13*((M24/(0.02+(4.439*(LN(1/F7)^(1/1.483)))))^(1/M23))*4.448/1000</f>
        <v>9.9075466704811284</v>
      </c>
      <c r="N25" s="116">
        <f>C26*C14*((N24/(0.02+(4.439*(LN(1/F7)^(1/1.483)))))^(1/N23))*4.448/1000</f>
        <v>9.9075466704811284</v>
      </c>
      <c r="O25" s="291"/>
    </row>
    <row r="26" spans="1:15">
      <c r="A26" s="279"/>
      <c r="B26" s="125" t="s">
        <v>563</v>
      </c>
      <c r="C26" s="183">
        <v>1.2</v>
      </c>
      <c r="H26" s="231" t="s">
        <v>564</v>
      </c>
      <c r="I26" s="232" t="str" cm="1">
        <f t="array" ref="I26">IF(I22="Ball",INDEX(Table2[[   ]],_xlfn.XMATCH(I25,(Table2[C '[kN']])*(Table2[d '[mm']]&gt;Bearings!C18),1)),INDEX(Table3[Column4],_xlfn.XMATCH(I25,(Table3[C])*(Table3[d]&gt;Bearings!C18),1)))</f>
        <v xml:space="preserve">61804 </v>
      </c>
      <c r="J26" s="232" t="str" cm="1">
        <f t="array" ref="J26">IF(J22="Ball",INDEX(Table2[[   ]],_xlfn.XMATCH(J25,(Table2[C '[kN']])*(Table2[d '[mm']]&gt;Bearings!C19),1)),INDEX(Table3[Column4],_xlfn.XMATCH(J25,(Table3[C])*(Table3[d]&gt;Bearings!C19),1)))</f>
        <v xml:space="preserve">61802 </v>
      </c>
      <c r="K26" s="232" t="str" cm="1">
        <f t="array" ref="K26">IF(K22="Ball",INDEX(Table2[[   ]],_xlfn.XMATCH(K25,(Table2[C '[kN']])*(Table2[d '[mm']]&gt;Bearings!C20),1)),INDEX(Table3[Column4],_xlfn.XMATCH(K25,(Table3[C])*(Table3[d]&gt;Bearings!C20),1)))</f>
        <v>* 16014</v>
      </c>
      <c r="L26" s="232" t="str" cm="1">
        <f t="array" ref="L26">IF(L22="Ball",INDEX(Table2[[   ]],_xlfn.XMATCH(L25,(Table2[C '[kN']])*(Table2[d '[mm']]&gt;Bearings!C21),1)),INDEX(Table3[Column4],_xlfn.XMATCH(L25,(Table3[C])*(Table3[d]&gt;Bearings!C21),1)))</f>
        <v xml:space="preserve">61809 </v>
      </c>
      <c r="M26" s="232" t="str" cm="1">
        <f t="array" ref="M26">IF(M22="Ball",INDEX(Table2[[   ]],_xlfn.XMATCH(M25,(Table2[C '[kN']])*(Table2[d '[mm']]&gt;Bearings!C22),1)),INDEX(Table3[Column4],_xlfn.XMATCH(M25,(Table3[C])*(Table3[d]&gt;Bearings!C22),1)))</f>
        <v xml:space="preserve">61907 </v>
      </c>
      <c r="N26" s="233" t="str" cm="1">
        <f t="array" ref="N26">IF(N22="Ball",INDEX(Table2[[   ]],_xlfn.XMATCH(N25,(Table2[C '[kN']])*(Table2[d '[mm']]&gt;Bearings!C23),1)),INDEX(Table3[Column4],_xlfn.XMATCH(N25,(Table3[C])*(Table3[d]&gt;Bearings!C23),1)))</f>
        <v xml:space="preserve">61907 </v>
      </c>
      <c r="O26" s="292"/>
    </row>
    <row r="27" spans="1:15">
      <c r="A27" s="279"/>
      <c r="B27" s="125" t="s">
        <v>565</v>
      </c>
      <c r="C27" s="182" t="b">
        <v>1</v>
      </c>
      <c r="H27" s="231" t="s">
        <v>566</v>
      </c>
      <c r="I27" s="234" t="s">
        <v>538</v>
      </c>
      <c r="J27" s="234" t="s">
        <v>538</v>
      </c>
      <c r="K27" s="234" t="s">
        <v>538</v>
      </c>
      <c r="L27" s="234" t="s">
        <v>538</v>
      </c>
      <c r="M27" s="234" t="s">
        <v>538</v>
      </c>
      <c r="N27" s="234" t="s">
        <v>538</v>
      </c>
    </row>
    <row r="28" spans="1:15">
      <c r="A28" s="280"/>
      <c r="B28" s="262" t="s">
        <v>567</v>
      </c>
      <c r="C28" s="263" t="b">
        <v>0</v>
      </c>
      <c r="H28" s="231" t="s">
        <v>568</v>
      </c>
      <c r="I28" s="115">
        <f>VLOOKUP($I$27,$E$14:$F$15,2,FALSE)</f>
        <v>1</v>
      </c>
      <c r="J28" s="115">
        <f>VLOOKUP($J$27,$E$14:$F$15,2,FALSE)</f>
        <v>1</v>
      </c>
      <c r="K28" s="115">
        <f>VLOOKUP($K$27,$E$14:$F$15,2,FALSE)</f>
        <v>1</v>
      </c>
      <c r="L28" s="115">
        <f>VLOOKUP($L$27,$E$14:$F$15,2,FALSE)</f>
        <v>1</v>
      </c>
      <c r="M28" s="115">
        <f>VLOOKUP($M$27,$E$14:$F$15,2,FALSE)</f>
        <v>1</v>
      </c>
      <c r="N28" s="235">
        <f>VLOOKUP($N$27,$E$14:$F$15,2,FALSE)</f>
        <v>1</v>
      </c>
      <c r="O28" s="151"/>
    </row>
    <row r="29" spans="1:15" ht="14.45" hidden="1" customHeight="1" outlineLevel="1">
      <c r="A29" s="85"/>
      <c r="H29" s="231" t="s">
        <v>569</v>
      </c>
      <c r="I29" s="115" cm="1">
        <f t="array" ref="I29">IF($I$22="Ball",_xlfn.XLOOKUP(I26,Table2[[   ]],Table2[C0 '[kN']]), _xlfn.XLOOKUP(I26,Table3[Column4],Table3[C0]))</f>
        <v>2.3199999999999998</v>
      </c>
      <c r="J29" s="115" cm="1">
        <f t="array" ref="J29">IF($J$22="Ball",_xlfn.XLOOKUP(J26,Table2[[   ]],Table2[C0 '[kN']]), _xlfn.XLOOKUP(J26,Table3[Column4],Table3[C0]))</f>
        <v>1.1000000000000001</v>
      </c>
      <c r="K29" s="115" cm="1">
        <f t="array" ref="K29">IF($K$22="Ball",_xlfn.XLOOKUP(K26,Table2[[   ]],Table2[C0 '[kN']]), _xlfn.XLOOKUP(K26,Table3[Column4],Table3[C0]))</f>
        <v>25</v>
      </c>
      <c r="L29" s="115" cm="1">
        <f t="array" ref="L29">IF($L$22="Ball",_xlfn.XLOOKUP(L26,Table2[[   ]],Table2[C0 '[kN']]), _xlfn.XLOOKUP(L26,Table3[Column4],Table3[C0]))</f>
        <v>6.1</v>
      </c>
      <c r="M29" s="115" cm="1">
        <f t="array" ref="M29">IF($M$22="Ball",_xlfn.XLOOKUP(M26,Table2[[   ]],Table2[C0 '[kN']]), _xlfn.XLOOKUP(M26,Table3[Column4],Table3[C0]))</f>
        <v>7.8</v>
      </c>
      <c r="N29" s="116" cm="1">
        <f t="array" ref="N29">IF($N$22="Ball",_xlfn.XLOOKUP(N26,Table2[[   ]],Table2[C0 '[kN']]), _xlfn.XLOOKUP(N26,Table3[Column4],Table3[C0]))</f>
        <v>7.8</v>
      </c>
      <c r="O29" s="287" t="s">
        <v>570</v>
      </c>
    </row>
    <row r="30" spans="1:15" hidden="1" outlineLevel="1">
      <c r="A30" s="85"/>
      <c r="H30" s="231" t="s">
        <v>571</v>
      </c>
      <c r="I30" s="115">
        <f>($C$3*0.004448)/I29</f>
        <v>0</v>
      </c>
      <c r="J30" s="115">
        <f>($C$4*0.004448)/J29</f>
        <v>0</v>
      </c>
      <c r="K30" s="115">
        <f>($C$5*0.004448)/K29</f>
        <v>0</v>
      </c>
      <c r="L30" s="115">
        <f>($C$6*0.004448)/L29</f>
        <v>0</v>
      </c>
      <c r="M30" s="115">
        <f>($C$7*0.004448)/M29</f>
        <v>0</v>
      </c>
      <c r="N30" s="116">
        <f>($C$8*0.004448)/N29</f>
        <v>0</v>
      </c>
      <c r="O30" s="288"/>
    </row>
    <row r="31" spans="1:15" hidden="1" outlineLevel="1">
      <c r="A31" s="85"/>
      <c r="H31" s="231" t="s">
        <v>572</v>
      </c>
      <c r="I31" s="115">
        <f>IF(I30&lt;0.014, 0.19, (0.5065*I30^0.232))</f>
        <v>0.19</v>
      </c>
      <c r="J31" s="115">
        <f>IF(J30&lt;0.014, 0.19, (0.5065*J30^0.232))</f>
        <v>0.19</v>
      </c>
      <c r="K31" s="115">
        <f t="shared" ref="K31:N31" si="2">IF(K30&lt;0.014, 0.19, (0.5065*K30^0.232))</f>
        <v>0.19</v>
      </c>
      <c r="L31" s="115">
        <f t="shared" si="2"/>
        <v>0.19</v>
      </c>
      <c r="M31" s="115">
        <f t="shared" si="2"/>
        <v>0.19</v>
      </c>
      <c r="N31" s="116">
        <f t="shared" si="2"/>
        <v>0.19</v>
      </c>
      <c r="O31" s="288"/>
    </row>
    <row r="32" spans="1:15" hidden="1" outlineLevel="1">
      <c r="A32" s="85"/>
      <c r="H32" s="231" t="s">
        <v>573</v>
      </c>
      <c r="I32" s="115">
        <f>$C$3/($I$28*$C$9)</f>
        <v>0</v>
      </c>
      <c r="J32" s="115">
        <f>$C$4/($J$28*$C$10)</f>
        <v>0</v>
      </c>
      <c r="K32" s="115">
        <f>$C$5/($K$28*$C$11)</f>
        <v>0</v>
      </c>
      <c r="L32" s="115">
        <f>$C$6/($L$28*$C$12)</f>
        <v>0</v>
      </c>
      <c r="M32" s="115">
        <f>$C$7/($M$28*$C$13)</f>
        <v>0</v>
      </c>
      <c r="N32" s="116">
        <f>$C$8/($N$28*$C$14)</f>
        <v>0</v>
      </c>
      <c r="O32" s="288"/>
    </row>
    <row r="33" spans="8:15" hidden="1" outlineLevel="1">
      <c r="H33" s="231" t="s">
        <v>574</v>
      </c>
      <c r="I33" s="115">
        <f>IF(I32&gt;I31, 0.56, 1)</f>
        <v>1</v>
      </c>
      <c r="J33" s="115">
        <f t="shared" ref="J33:N33" si="3">IF(J32&gt;J31, 0.56, 1)</f>
        <v>1</v>
      </c>
      <c r="K33" s="115">
        <f t="shared" si="3"/>
        <v>1</v>
      </c>
      <c r="L33" s="115">
        <f t="shared" si="3"/>
        <v>1</v>
      </c>
      <c r="M33" s="115">
        <f t="shared" si="3"/>
        <v>1</v>
      </c>
      <c r="N33" s="116">
        <f t="shared" si="3"/>
        <v>1</v>
      </c>
      <c r="O33" s="288"/>
    </row>
    <row r="34" spans="8:15" hidden="1" outlineLevel="1">
      <c r="H34" s="231" t="s">
        <v>575</v>
      </c>
      <c r="I34" s="115">
        <f>IF(I32&gt;I31,IF(I30&gt;0.014,(0.8632*I30^-0.235),2.3), 0)</f>
        <v>0</v>
      </c>
      <c r="J34" s="115">
        <f t="shared" ref="J34:N34" si="4">IF(J32&gt;J31,IF(J30&gt;0.014,(0.8632*J30^-0.235),2.3), 0)</f>
        <v>0</v>
      </c>
      <c r="K34" s="115">
        <f t="shared" si="4"/>
        <v>0</v>
      </c>
      <c r="L34" s="115">
        <f t="shared" si="4"/>
        <v>0</v>
      </c>
      <c r="M34" s="115">
        <f t="shared" si="4"/>
        <v>0</v>
      </c>
      <c r="N34" s="116">
        <f t="shared" si="4"/>
        <v>0</v>
      </c>
      <c r="O34" s="288"/>
    </row>
    <row r="35" spans="8:15" hidden="1" outlineLevel="1">
      <c r="H35" s="231" t="s">
        <v>576</v>
      </c>
      <c r="I35" s="115">
        <f>(I33*$I$28*$C$9)+(I34*$C$3)</f>
        <v>251.5131919348247</v>
      </c>
      <c r="J35" s="115">
        <f>(J33*$J$28*$C$10)+(J34*$C$4)</f>
        <v>251.5131919348247</v>
      </c>
      <c r="K35" s="115">
        <f>(K33*$K$28*$C$11)+(K34*$C$5)</f>
        <v>5524.8746481000426</v>
      </c>
      <c r="L35" s="115">
        <f>(L33*$L$28*$C$12)+(L34*$C$6)</f>
        <v>1126.4527065895584</v>
      </c>
      <c r="M35" s="115">
        <f>(M33*$M$28*$C$13)+(M34*$C$7)</f>
        <v>2207.1374440521317</v>
      </c>
      <c r="N35" s="116">
        <f>(N33*$N$28*$C$14)+(N34*$C$8)</f>
        <v>2207.1374440521317</v>
      </c>
      <c r="O35" s="288"/>
    </row>
    <row r="36" spans="8:15" hidden="1" outlineLevel="1">
      <c r="H36" s="231" t="s">
        <v>577</v>
      </c>
      <c r="I36" s="115">
        <f>($C$26*I35*(($I$24/(0.02+(4.439*(LN(1/$F$7)^(1/1.483)))))^(1/$I$23)))*4.448/1000</f>
        <v>1.8768085323640502</v>
      </c>
      <c r="J36" s="115">
        <f>($C$26*J35*(($J$24/(0.02+(4.439*(LN(1/$F$7)^(1/1.483)))))^(1/$J$23)))*4.448/1000</f>
        <v>1.8768085323640502</v>
      </c>
      <c r="K36" s="115">
        <f>($C$26*K35*(($K$24/(0.02+(4.439*(LN(1/$F$7)^(1/1.483)))))^(1/$K$23)))*4.448/1000</f>
        <v>28.389403234595772</v>
      </c>
      <c r="L36" s="115">
        <f>($C$26*L35*(($L$24/(0.02+(4.439*(LN(1/$F$7)^(1/1.483)))))^(1/$L$23)))*4.448/1000</f>
        <v>5.7882435618824744</v>
      </c>
      <c r="M36" s="115">
        <f>($C$26*M35*(($M$24/(0.02+(4.439*(LN(1/$F$7)^(1/1.483)))))^(1/$M$23)))*4.448/1000</f>
        <v>9.9075466704811284</v>
      </c>
      <c r="N36" s="116">
        <f>($C$26*N35*(($N$24/(0.02+(4.439*(LN(1/$F$7)^(1/1.483)))))^(1/$N$23)))*4.448/1000</f>
        <v>9.9075466704811284</v>
      </c>
      <c r="O36" s="288"/>
    </row>
    <row r="37" spans="8:15" hidden="1" outlineLevel="1">
      <c r="H37" s="231" t="s">
        <v>578</v>
      </c>
      <c r="I37" s="236" t="str" cm="1">
        <f t="array" ref="I37">IF($I$22="Ball",INDEX(Table2[[   ]],_xlfn.XMATCH(I36,(Table2[C '[kN']])*(Table2[d '[mm']]&gt;$C$18),1)),INDEX(Table3[Column4],_xlfn.XMATCH(I36,(Table3[C])*(Table3[d]&gt;$C$18),1)))</f>
        <v xml:space="preserve">61804 </v>
      </c>
      <c r="J37" s="236" t="str" cm="1">
        <f t="array" ref="J37">IF($J$22="Ball",INDEX(Table2[[   ]],_xlfn.XMATCH(J36,(Table2[C '[kN']])*(Table2[d '[mm']]&gt;$C$19),1)),INDEX(Table3[Column4],_xlfn.XMATCH(J36,(Table3[C])*(Table3[d]&gt;$C$19),1)))</f>
        <v xml:space="preserve">61802 </v>
      </c>
      <c r="K37" s="236" t="str" cm="1">
        <f t="array" ref="K37">IF($K$22="Ball",INDEX(Table2[[   ]],_xlfn.XMATCH(K36,(Table2[C '[kN']])*(Table2[d '[mm']]&gt;$C$20),1)),INDEX(Table3[Column4],_xlfn.XMATCH(K36,(Table3[C])*(Table3[d]&gt;$C$20),1)))</f>
        <v>* 16014</v>
      </c>
      <c r="L37" s="236" t="str" cm="1">
        <f t="array" ref="L37">IF($L$22="Ball",INDEX(Table2[[   ]],_xlfn.XMATCH(L36,(Table2[C '[kN']])*(Table2[d '[mm']]&gt;$C$21),1)),INDEX(Table3[Column4],_xlfn.XMATCH(L36,(Table3[C])*(Table3[d]&gt;$C$21),1)))</f>
        <v xml:space="preserve">61809 </v>
      </c>
      <c r="M37" s="236" t="str" cm="1">
        <f t="array" ref="M37">IF($M$22="Ball",INDEX(Table2[[   ]],_xlfn.XMATCH(M36,(Table2[C '[kN']])*(Table2[d '[mm']]&gt;$C$22),1)),INDEX(Table3[Column4],_xlfn.XMATCH(M36,(Table3[C])*(Table3[d]&gt;$C$22),1)))</f>
        <v xml:space="preserve">61907 </v>
      </c>
      <c r="N37" s="237" t="str" cm="1">
        <f t="array" ref="N37">IF($N$22="Ball",INDEX(Table2[[   ]],_xlfn.XMATCH(N36,(Table2[C '[kN']])*(Table2[d '[mm']]&gt;$C$23),1)),INDEX(Table3[Column4],_xlfn.XMATCH(N36,(Table3[C])*(Table3[d]&gt;$C$23),1)))</f>
        <v xml:space="preserve">61907 </v>
      </c>
      <c r="O37" s="289"/>
    </row>
    <row r="38" spans="8:15" hidden="1" outlineLevel="1">
      <c r="H38" s="231" t="s">
        <v>569</v>
      </c>
      <c r="I38" s="115" cm="1">
        <f t="array" ref="I38">IF(I$22="Ball",_xlfn.XLOOKUP(I37,Table2[[   ]],Table2[C0 '[kN']]), _xlfn.XLOOKUP(I37,Table3[Column4],Table3[C0]))</f>
        <v>2.3199999999999998</v>
      </c>
      <c r="J38" s="115" cm="1">
        <f t="array" ref="J38">IF(J$22="Ball",_xlfn.XLOOKUP(J37,Table2[[   ]],Table2[C0 '[kN']]), _xlfn.XLOOKUP(J37,Table3[Column4],Table3[C0]))</f>
        <v>1.1000000000000001</v>
      </c>
      <c r="K38" s="115" cm="1">
        <f t="array" ref="K38">IF(K$22="Ball",_xlfn.XLOOKUP(K37,Table2[[   ]],Table2[C0 '[kN']]), _xlfn.XLOOKUP(K37,Table3[Column4],Table3[C0]))</f>
        <v>25</v>
      </c>
      <c r="L38" s="115" cm="1">
        <f t="array" ref="L38">IF(L$22="Ball",_xlfn.XLOOKUP(L37,Table2[[   ]],Table2[C0 '[kN']]), _xlfn.XLOOKUP(L37,Table3[Column4],Table3[C0]))</f>
        <v>6.1</v>
      </c>
      <c r="M38" s="115" cm="1">
        <f t="array" ref="M38">IF(M$22="Ball",_xlfn.XLOOKUP(M37,Table2[[   ]],Table2[C0 '[kN']]), _xlfn.XLOOKUP(M37,Table3[Column4],Table3[C0]))</f>
        <v>7.8</v>
      </c>
      <c r="N38" s="115">
        <f>IF(N$22="Ball",_xlfn.XLOOKUP(N37,Table2[[   ]],Table2[C0 '[kN']]), _xlfn.XLOOKUP(N37,Table3[Column4],Table3[C0]))</f>
        <v>7.8</v>
      </c>
      <c r="O38" s="293" t="s">
        <v>579</v>
      </c>
    </row>
    <row r="39" spans="8:15" hidden="1" outlineLevel="1">
      <c r="H39" s="231" t="s">
        <v>571</v>
      </c>
      <c r="I39" s="115">
        <f>($C$3*0.004448)/I38</f>
        <v>0</v>
      </c>
      <c r="J39" s="115">
        <f>($C$4*0.004448)/J38</f>
        <v>0</v>
      </c>
      <c r="K39" s="115">
        <f>($C$5*0.004448)/K38</f>
        <v>0</v>
      </c>
      <c r="L39" s="115">
        <f>($C$6*0.004448)/L38</f>
        <v>0</v>
      </c>
      <c r="M39" s="115">
        <f>($C$7*0.004448)/M38</f>
        <v>0</v>
      </c>
      <c r="N39" s="116">
        <f>($C$8*0.004448)/N38</f>
        <v>0</v>
      </c>
      <c r="O39" s="294"/>
    </row>
    <row r="40" spans="8:15" hidden="1" outlineLevel="1">
      <c r="H40" s="231" t="s">
        <v>572</v>
      </c>
      <c r="I40" s="115">
        <f t="shared" ref="I40:N40" si="5">IF(I39&lt;0.014, 0.19, (0.5065*I39^0.232))</f>
        <v>0.19</v>
      </c>
      <c r="J40" s="115">
        <f t="shared" si="5"/>
        <v>0.19</v>
      </c>
      <c r="K40" s="115">
        <f t="shared" si="5"/>
        <v>0.19</v>
      </c>
      <c r="L40" s="115">
        <f t="shared" si="5"/>
        <v>0.19</v>
      </c>
      <c r="M40" s="115">
        <f t="shared" si="5"/>
        <v>0.19</v>
      </c>
      <c r="N40" s="116">
        <f t="shared" si="5"/>
        <v>0.19</v>
      </c>
      <c r="O40" s="294"/>
    </row>
    <row r="41" spans="8:15" hidden="1" outlineLevel="1">
      <c r="H41" s="231" t="s">
        <v>574</v>
      </c>
      <c r="I41" s="115">
        <f t="shared" ref="I41:N41" si="6">IF(I$32&gt;I40, 0.56, 1)</f>
        <v>1</v>
      </c>
      <c r="J41" s="115">
        <f t="shared" si="6"/>
        <v>1</v>
      </c>
      <c r="K41" s="115">
        <f t="shared" si="6"/>
        <v>1</v>
      </c>
      <c r="L41" s="115">
        <f t="shared" si="6"/>
        <v>1</v>
      </c>
      <c r="M41" s="115">
        <f t="shared" si="6"/>
        <v>1</v>
      </c>
      <c r="N41" s="116">
        <f t="shared" si="6"/>
        <v>1</v>
      </c>
      <c r="O41" s="294"/>
    </row>
    <row r="42" spans="8:15" hidden="1" outlineLevel="1">
      <c r="H42" s="231" t="s">
        <v>575</v>
      </c>
      <c r="I42" s="115">
        <f t="shared" ref="I42:N42" si="7">IF(I$32&gt;I40,IF(I39&gt;0.014,(0.8632*I39^-0.235),2.3), 0)</f>
        <v>0</v>
      </c>
      <c r="J42" s="115">
        <f t="shared" si="7"/>
        <v>0</v>
      </c>
      <c r="K42" s="115">
        <f t="shared" si="7"/>
        <v>0</v>
      </c>
      <c r="L42" s="115">
        <f t="shared" si="7"/>
        <v>0</v>
      </c>
      <c r="M42" s="115">
        <f t="shared" si="7"/>
        <v>0</v>
      </c>
      <c r="N42" s="116">
        <f t="shared" si="7"/>
        <v>0</v>
      </c>
      <c r="O42" s="294"/>
    </row>
    <row r="43" spans="8:15" hidden="1" outlineLevel="1">
      <c r="H43" s="231" t="s">
        <v>576</v>
      </c>
      <c r="I43" s="115">
        <f>(I41*$I$28*$C$9)+(I42*$C$3)</f>
        <v>251.5131919348247</v>
      </c>
      <c r="J43" s="115">
        <f>(J41*$J$28*$C$10)+(J42*$C$4)</f>
        <v>251.5131919348247</v>
      </c>
      <c r="K43" s="115">
        <f>(K41*$K$28*$C$11)+(K42*$C$5)</f>
        <v>5524.8746481000426</v>
      </c>
      <c r="L43" s="115">
        <f>(L41*$L$28*$C$12)+(L42*$C$6)</f>
        <v>1126.4527065895584</v>
      </c>
      <c r="M43" s="115">
        <f>(M41*$M$28*$C$13)+(M42*$C$7)</f>
        <v>2207.1374440521317</v>
      </c>
      <c r="N43" s="116">
        <f>(N41*$N$28*$C$14)+(N42*$C$8)</f>
        <v>2207.1374440521317</v>
      </c>
      <c r="O43" s="294"/>
    </row>
    <row r="44" spans="8:15" hidden="1" outlineLevel="1">
      <c r="H44" s="231" t="s">
        <v>577</v>
      </c>
      <c r="I44" s="115">
        <f>($C$26*I43*(($I$24/(0.02+(4.439*(LN(1/$F$7)^(1/1.483)))))^(1/$I$23)))*4.448/1000</f>
        <v>1.8768085323640502</v>
      </c>
      <c r="J44" s="115">
        <f>($C$26*J43*(($J$24/(0.02+(4.439*(LN(1/$F$7)^(1/1.483)))))^(1/$J$23)))*4.448/1000</f>
        <v>1.8768085323640502</v>
      </c>
      <c r="K44" s="115">
        <f>($C$26*K43*(($K$24/(0.02+(4.439*(LN(1/$F$7)^(1/1.483)))))^(1/$K$23)))*4.448/1000</f>
        <v>28.389403234595772</v>
      </c>
      <c r="L44" s="115">
        <f>($C$26*L43*(($L$24/(0.02+(4.439*(LN(1/$F$7)^(1/1.483)))))^(1/$L$23)))*4.448/1000</f>
        <v>5.7882435618824744</v>
      </c>
      <c r="M44" s="115">
        <f>($C$26*M43*(($M$24/(0.02+(4.439*(LN(1/$F$7)^(1/1.483)))))^(1/$M$23)))*4.448/1000</f>
        <v>9.9075466704811284</v>
      </c>
      <c r="N44" s="116">
        <f>($C$26*N43*(($N$24/(0.02+(4.439*(LN(1/$F$7)^(1/1.483)))))^(1/$N$23)))*4.448/1000</f>
        <v>9.9075466704811284</v>
      </c>
      <c r="O44" s="294"/>
    </row>
    <row r="45" spans="8:15" hidden="1" outlineLevel="1">
      <c r="H45" s="231" t="s">
        <v>580</v>
      </c>
      <c r="I45" s="236" t="str" cm="1">
        <f t="array" ref="I45">IF($I$22="Ball",INDEX(Table2[[   ]],_xlfn.XMATCH(I44,(Table2[[C '[kN']]:[C '[kN']]])*(Table2[[d '[mm']]:[d '[mm']]]&gt;$C$18),1)),INDEX(Table3[[Column4]:[Column4]],_xlfn.XMATCH(I44,(Table3[[C]:[C]])*(Table3[[d]:[d]]&gt;$C$18),1)))</f>
        <v xml:space="preserve">61804 </v>
      </c>
      <c r="J45" s="236" t="str" cm="1">
        <f t="array" ref="J45">IF($J$22="Ball",INDEX(Table2[[   ]],_xlfn.XMATCH(J44,(Table2[C '[kN']])*(Table2[d '[mm']]&gt;$C$19),1)),INDEX(Table3[Column4],_xlfn.XMATCH(J44,(Table3[C])*(Table3[d]&gt;$C$19),1)))</f>
        <v xml:space="preserve">61802 </v>
      </c>
      <c r="K45" s="236" t="str" cm="1">
        <f t="array" ref="K45">IF($K$22="Ball",INDEX(Table2[[   ]],_xlfn.XMATCH(K44,(Table2[[C '[kN']]:[C '[kN']]])*(Table2[[d '[mm']]:[d '[mm']]]&gt;$C$20),1)),INDEX(Table3[[Column4]:[Column4]],_xlfn.XMATCH(K44,(Table3[[C]:[C]])*(Table3[[d]:[d]]&gt;$C$20),1)))</f>
        <v>* 16014</v>
      </c>
      <c r="L45" s="236" t="str" cm="1">
        <f t="array" ref="L45">IF($L$22="Ball",INDEX(Table2[[   ]],_xlfn.XMATCH(L44,(Table2[[C '[kN']]:[C '[kN']]])*(Table2[[d '[mm']]:[d '[mm']]]&gt;$C$21),1)),INDEX(Table3[[Column4]:[Column4]],_xlfn.XMATCH(L44,(Table3[[C]:[C]])*(Table3[[d]:[d]]&gt;$C$21),1)))</f>
        <v xml:space="preserve">61809 </v>
      </c>
      <c r="M45" s="236" t="str" cm="1">
        <f t="array" ref="M45">IF($M$22="Ball",INDEX(Table2[[   ]],_xlfn.XMATCH(M44,(Table2[[C '[kN']]:[C '[kN']]])*(Table2[[d '[mm']]:[d '[mm']]]&gt;$C$22),1)),INDEX(Table3[[Column4]:[Column4]],_xlfn.XMATCH(M44,(Table3[[C]:[C]])*(Table3[[d]:[d]]&gt;$C$22),1)))</f>
        <v xml:space="preserve">61907 </v>
      </c>
      <c r="N45" s="237" t="str" cm="1">
        <f t="array" ref="N45">IF($N$22="Ball",INDEX(Table2[[   ]],_xlfn.XMATCH(N44,(Table2[C '[kN']])*(Table2[d '[mm']]&gt;$C$23),1)),INDEX(Table3[Column4],_xlfn.XMATCH(N44,(Table3[C])*(Table3[d]&gt;$C$23),1)))</f>
        <v xml:space="preserve">61907 </v>
      </c>
      <c r="O45" s="295"/>
    </row>
    <row r="46" spans="8:15" hidden="1" outlineLevel="1">
      <c r="H46" s="231" t="s">
        <v>569</v>
      </c>
      <c r="I46" s="115" cm="1">
        <f t="array" ref="I46">IF(I$22="Ball",_xlfn.XLOOKUP(I45,Table2[[   ]],Table2[C0 '[kN']]), _xlfn.XLOOKUP(I45,Table3[Column4],Table3[C0]))</f>
        <v>2.3199999999999998</v>
      </c>
      <c r="J46" s="115" cm="1">
        <f t="array" ref="J46">IF(J$22="Ball",_xlfn.XLOOKUP(J45,Table2[[   ]],Table2[C0 '[kN']]), _xlfn.XLOOKUP(J45,Table3[Column4],Table3[C0]))</f>
        <v>1.1000000000000001</v>
      </c>
      <c r="K46" s="115" cm="1">
        <f t="array" ref="K46">IF(K$22="Ball",_xlfn.XLOOKUP(K45,Table2[[   ]],Table2[C0 '[kN']]), _xlfn.XLOOKUP(K45,Table3[Column4],Table3[C0]))</f>
        <v>25</v>
      </c>
      <c r="L46" s="115" cm="1">
        <f t="array" ref="L46">IF(L$22="Ball",_xlfn.XLOOKUP(L45,Table2[[   ]],Table2[C0 '[kN']]), _xlfn.XLOOKUP(L45,Table3[Column4],Table3[C0]))</f>
        <v>6.1</v>
      </c>
      <c r="M46" s="115" cm="1">
        <f t="array" ref="M46">IF(M$22="Ball",_xlfn.XLOOKUP(M45,Table2[[   ]],Table2[C0 '[kN']]), _xlfn.XLOOKUP(M45,Table3[Column4],Table3[C0]))</f>
        <v>7.8</v>
      </c>
      <c r="N46" s="115" cm="1">
        <f t="array" ref="N46">IF(N$22="Ball",_xlfn.XLOOKUP(N45,Table2[[   ]],Table2[C0 '[kN']]), _xlfn.XLOOKUP(N45,Table3[Column4],Table3[C0]))</f>
        <v>7.8</v>
      </c>
      <c r="O46" s="281" t="s">
        <v>581</v>
      </c>
    </row>
    <row r="47" spans="8:15" hidden="1" outlineLevel="1">
      <c r="H47" s="231" t="s">
        <v>571</v>
      </c>
      <c r="I47" s="115">
        <f>($C$3*0.004448)/I46</f>
        <v>0</v>
      </c>
      <c r="J47" s="115">
        <f>($C$4*0.004448)/J46</f>
        <v>0</v>
      </c>
      <c r="K47" s="115">
        <f>($C$5*0.004448)/K46</f>
        <v>0</v>
      </c>
      <c r="L47" s="115">
        <f>($C$6*0.004448)/L46</f>
        <v>0</v>
      </c>
      <c r="M47" s="115">
        <f>($C$7*0.004448)/M46</f>
        <v>0</v>
      </c>
      <c r="N47" s="116">
        <f>($C$8*0.004448)/N46</f>
        <v>0</v>
      </c>
      <c r="O47" s="282"/>
    </row>
    <row r="48" spans="8:15" hidden="1" outlineLevel="1">
      <c r="H48" s="231" t="s">
        <v>572</v>
      </c>
      <c r="I48" s="115">
        <f t="shared" ref="I48:N48" si="8">IF(I47&lt;0.014, 0.19, (0.5065*I47^0.232))</f>
        <v>0.19</v>
      </c>
      <c r="J48" s="115">
        <f t="shared" si="8"/>
        <v>0.19</v>
      </c>
      <c r="K48" s="115">
        <f t="shared" si="8"/>
        <v>0.19</v>
      </c>
      <c r="L48" s="115">
        <f t="shared" si="8"/>
        <v>0.19</v>
      </c>
      <c r="M48" s="115">
        <f t="shared" si="8"/>
        <v>0.19</v>
      </c>
      <c r="N48" s="116">
        <f t="shared" si="8"/>
        <v>0.19</v>
      </c>
      <c r="O48" s="282"/>
    </row>
    <row r="49" spans="8:15" hidden="1" outlineLevel="1">
      <c r="H49" s="231" t="s">
        <v>574</v>
      </c>
      <c r="I49" s="115">
        <f t="shared" ref="I49:N49" si="9">IF(I$32&gt;I48, 0.56, 1)</f>
        <v>1</v>
      </c>
      <c r="J49" s="115">
        <f t="shared" si="9"/>
        <v>1</v>
      </c>
      <c r="K49" s="115">
        <f t="shared" si="9"/>
        <v>1</v>
      </c>
      <c r="L49" s="115">
        <f t="shared" si="9"/>
        <v>1</v>
      </c>
      <c r="M49" s="115">
        <f t="shared" si="9"/>
        <v>1</v>
      </c>
      <c r="N49" s="116">
        <f t="shared" si="9"/>
        <v>1</v>
      </c>
      <c r="O49" s="282"/>
    </row>
    <row r="50" spans="8:15" hidden="1" outlineLevel="1">
      <c r="H50" s="231" t="s">
        <v>575</v>
      </c>
      <c r="I50" s="115">
        <f t="shared" ref="I50:N50" si="10">IF(I$32&gt;I48,IF(I47&gt;0.014,(0.8632*I47^-0.235),2.3), 0)</f>
        <v>0</v>
      </c>
      <c r="J50" s="115">
        <f t="shared" si="10"/>
        <v>0</v>
      </c>
      <c r="K50" s="115">
        <f t="shared" si="10"/>
        <v>0</v>
      </c>
      <c r="L50" s="115">
        <f t="shared" si="10"/>
        <v>0</v>
      </c>
      <c r="M50" s="115">
        <f t="shared" si="10"/>
        <v>0</v>
      </c>
      <c r="N50" s="116">
        <f t="shared" si="10"/>
        <v>0</v>
      </c>
      <c r="O50" s="282"/>
    </row>
    <row r="51" spans="8:15" hidden="1" outlineLevel="1">
      <c r="H51" s="231" t="s">
        <v>576</v>
      </c>
      <c r="I51" s="115">
        <f>(I49*$I$28*$C$9)+(I50*$C$3)</f>
        <v>251.5131919348247</v>
      </c>
      <c r="J51" s="115">
        <f>(J49*$J$28*$C$10)+(J50*$C$4)</f>
        <v>251.5131919348247</v>
      </c>
      <c r="K51" s="115">
        <f>(K49*$K$28*$C$11)+(K50*$C$5)</f>
        <v>5524.8746481000426</v>
      </c>
      <c r="L51" s="115">
        <f>(L49*$L$28*$C$12)+(L50*$C$6)</f>
        <v>1126.4527065895584</v>
      </c>
      <c r="M51" s="115">
        <f>(M49*$M$28*$C$13)+(M50*$C$7)</f>
        <v>2207.1374440521317</v>
      </c>
      <c r="N51" s="116">
        <f>(N49*$N$28*$C$14)+(N50*$C$8)</f>
        <v>2207.1374440521317</v>
      </c>
      <c r="O51" s="282"/>
    </row>
    <row r="52" spans="8:15" hidden="1" outlineLevel="1">
      <c r="H52" s="231" t="s">
        <v>577</v>
      </c>
      <c r="I52" s="115">
        <f>($C$26*I51*(($I$24/(0.02+(4.439*(LN(1/$F$7)^(1/1.483)))))^(1/$I$23)))*4.448/1000</f>
        <v>1.8768085323640502</v>
      </c>
      <c r="J52" s="115">
        <f>($C$26*J51*(($J$24/(0.02+(4.439*(LN(1/$F$7)^(1/1.483)))))^(1/$J$23)))*4.448/1000</f>
        <v>1.8768085323640502</v>
      </c>
      <c r="K52" s="115">
        <f>($C$26*K51*(($K$24/(0.02+(4.439*(LN(1/$F$7)^(1/1.483)))))^(1/$K$23)))*4.448/1000</f>
        <v>28.389403234595772</v>
      </c>
      <c r="L52" s="115">
        <f>($C$26*L51*(($L$24/(0.02+(4.439*(LN(1/$F$7)^(1/1.483)))))^(1/$L$23)))*4.448/1000</f>
        <v>5.7882435618824744</v>
      </c>
      <c r="M52" s="115">
        <f>($C$26*M51*(($M$24/(0.02+(4.439*(LN(1/$F$7)^(1/1.483)))))^(1/$M$23)))*4.448/1000</f>
        <v>9.9075466704811284</v>
      </c>
      <c r="N52" s="116">
        <f>($C$26*N51*(($N$24/(0.02+(4.439*(LN(1/$F$7)^(1/1.483)))))^(1/$N$23)))*4.448/1000</f>
        <v>9.9075466704811284</v>
      </c>
      <c r="O52" s="282"/>
    </row>
    <row r="53" spans="8:15" hidden="1" outlineLevel="1">
      <c r="H53" s="231" t="s">
        <v>582</v>
      </c>
      <c r="I53" s="236" t="str" cm="1">
        <f t="array" ref="I53">IF($I$22="Ball",INDEX(Table2[[   ]],_xlfn.XMATCH(I52,(Table2[[C '[kN']]:[C '[kN']]])*(Table2[[d '[mm']]:[d '[mm']]]&gt;$C$18),1)),INDEX(Table3[[Column4]:[Column4]],_xlfn.XMATCH(I52,(Table3[[C]:[C]])*(Table3[[d]:[d]]&gt;$C$18),1)))</f>
        <v xml:space="preserve">61804 </v>
      </c>
      <c r="J53" s="236" t="str" cm="1">
        <f t="array" ref="J53">IF($J$22="Ball",INDEX(Table2[[   ]],_xlfn.XMATCH(J52,(Table2[[C '[kN']]:[C '[kN']]])*(Table2[[d '[mm']]:[d '[mm']]]&gt;$C$19),1)),INDEX(Table3[[Column4]:[Column4]],_xlfn.XMATCH(J52,(Table3[[C]:[C]])*(Table3[[d]:[d]]&gt;$C$19),1)))</f>
        <v xml:space="preserve">61802 </v>
      </c>
      <c r="K53" s="236" t="str" cm="1">
        <f t="array" ref="K53">IF($K$22="Ball",INDEX(Table2[[   ]],_xlfn.XMATCH(K52,(Table2[[C '[kN']]:[C '[kN']]])*(Table2[[d '[mm']]:[d '[mm']]]&gt;$C$20),1)),INDEX(Table3[[Column4]:[Column4]],_xlfn.XMATCH(K52,(Table3[[C]:[C]])*(Table3[[d]:[d]]&gt;$C$20),1)))</f>
        <v>* 16014</v>
      </c>
      <c r="L53" s="236" t="str" cm="1">
        <f t="array" ref="L53">IF($L$22="Ball",INDEX(Table2[[   ]],_xlfn.XMATCH(L52,(Table2[[C '[kN']]:[C '[kN']]])*(Table2[[d '[mm']]:[d '[mm']]]&gt;$C$21),1)),INDEX(Table3[[Column4]:[Column4]],_xlfn.XMATCH(L52,(Table3[[C]:[C]])*(Table3[[d]:[d]]&gt;$C$21),1)))</f>
        <v xml:space="preserve">61809 </v>
      </c>
      <c r="M53" s="236" t="str" cm="1">
        <f t="array" ref="M53">IF($M$22="Ball",INDEX(Table2[[   ]],_xlfn.XMATCH(M52,(Table2[[C '[kN']]:[C '[kN']]])*(Table2[[d '[mm']]:[d '[mm']]]&gt;$C$22),1)),INDEX(Table3[[Column4]:[Column4]],_xlfn.XMATCH(M52,(Table3[[C]:[C]])*(Table3[[d]:[d]]&gt;$C$22),1)))</f>
        <v xml:space="preserve">61907 </v>
      </c>
      <c r="N53" s="237" t="str" cm="1">
        <f t="array" ref="N53">IF($N$22="Ball",INDEX(Table2[[   ]],_xlfn.XMATCH(N52,(Table2[[C '[kN']]:[C '[kN']]])*(Table2[[d '[mm']]:[d '[mm']]]&gt;$C$23),1)),INDEX(Table3[[Column4]:[Column4]],_xlfn.XMATCH(N52,(Table3[[C]:[C]])*(Table3[[d]:[d]]&gt;$C$23),1)))</f>
        <v xml:space="preserve">61907 </v>
      </c>
      <c r="O53" s="283"/>
    </row>
    <row r="54" spans="8:15" hidden="1" outlineLevel="1">
      <c r="H54" s="231" t="s">
        <v>569</v>
      </c>
      <c r="I54" s="115" cm="1">
        <f t="array" ref="I54">IF(I$22="Ball",_xlfn.XLOOKUP(I53,Table2[[   ]],Table2[C0 '[kN']]), _xlfn.XLOOKUP(I53,Table3[Column4],Table3[C0]))</f>
        <v>2.3199999999999998</v>
      </c>
      <c r="J54" s="115" cm="1">
        <f t="array" ref="J54">IF(J$22="Ball",_xlfn.XLOOKUP(J53,Table2[[   ]],Table2[C0 '[kN']]), _xlfn.XLOOKUP(J53,Table3[Column4],Table3[C0]))</f>
        <v>1.1000000000000001</v>
      </c>
      <c r="K54" s="115" cm="1">
        <f t="array" ref="K54">IF(K$22="Ball",_xlfn.XLOOKUP(K53,Table2[[   ]],Table2[C0 '[kN']]), _xlfn.XLOOKUP(K53,Table3[Column4],Table3[C0]))</f>
        <v>25</v>
      </c>
      <c r="L54" s="115" cm="1">
        <f t="array" ref="L54">IF(L$22="Ball",_xlfn.XLOOKUP(L53,Table2[[   ]],Table2[C0 '[kN']]), _xlfn.XLOOKUP(L53,Table3[Column4],Table3[C0]))</f>
        <v>6.1</v>
      </c>
      <c r="M54" s="115" cm="1">
        <f t="array" ref="M54">IF(M$22="Ball",_xlfn.XLOOKUP(M53,Table2[[   ]],Table2[C0 '[kN']]), _xlfn.XLOOKUP(M53,Table3[Column4],Table3[C0]))</f>
        <v>7.8</v>
      </c>
      <c r="N54" s="115" cm="1">
        <f t="array" ref="N54">IF(N$22="Ball",_xlfn.XLOOKUP(N53,Table2[[   ]],Table2[C0 '[kN']]), _xlfn.XLOOKUP(N53,Table3[Column4],Table3[C0]))</f>
        <v>7.8</v>
      </c>
      <c r="O54" s="281" t="s">
        <v>583</v>
      </c>
    </row>
    <row r="55" spans="8:15" hidden="1" outlineLevel="1">
      <c r="H55" s="231" t="s">
        <v>571</v>
      </c>
      <c r="I55" s="115">
        <f>($C$3*0.004448)/I54</f>
        <v>0</v>
      </c>
      <c r="J55" s="115">
        <f>($C$4*0.004448)/J54</f>
        <v>0</v>
      </c>
      <c r="K55" s="115">
        <f>($C$5*0.004448)/K54</f>
        <v>0</v>
      </c>
      <c r="L55" s="115">
        <f>($C$6*0.004448)/L54</f>
        <v>0</v>
      </c>
      <c r="M55" s="115">
        <f>($C$7*0.004448)/M54</f>
        <v>0</v>
      </c>
      <c r="N55" s="116">
        <f>($C$8*0.004448)/N54</f>
        <v>0</v>
      </c>
      <c r="O55" s="282"/>
    </row>
    <row r="56" spans="8:15" hidden="1" outlineLevel="1">
      <c r="H56" s="231" t="s">
        <v>572</v>
      </c>
      <c r="I56" s="115">
        <f t="shared" ref="I56:N56" si="11">IF(I55&lt;0.014, 0.19, (0.5065*I55^0.232))</f>
        <v>0.19</v>
      </c>
      <c r="J56" s="115">
        <f t="shared" si="11"/>
        <v>0.19</v>
      </c>
      <c r="K56" s="115">
        <f t="shared" si="11"/>
        <v>0.19</v>
      </c>
      <c r="L56" s="115">
        <f t="shared" si="11"/>
        <v>0.19</v>
      </c>
      <c r="M56" s="115">
        <f t="shared" si="11"/>
        <v>0.19</v>
      </c>
      <c r="N56" s="116">
        <f t="shared" si="11"/>
        <v>0.19</v>
      </c>
      <c r="O56" s="282"/>
    </row>
    <row r="57" spans="8:15" hidden="1" outlineLevel="1">
      <c r="H57" s="231" t="s">
        <v>574</v>
      </c>
      <c r="I57" s="115">
        <f t="shared" ref="I57:N57" si="12">IF(I$32&gt;I56, 0.56, 1)</f>
        <v>1</v>
      </c>
      <c r="J57" s="115">
        <f t="shared" si="12"/>
        <v>1</v>
      </c>
      <c r="K57" s="115">
        <f t="shared" si="12"/>
        <v>1</v>
      </c>
      <c r="L57" s="115">
        <f t="shared" si="12"/>
        <v>1</v>
      </c>
      <c r="M57" s="115">
        <f t="shared" si="12"/>
        <v>1</v>
      </c>
      <c r="N57" s="116">
        <f t="shared" si="12"/>
        <v>1</v>
      </c>
      <c r="O57" s="282"/>
    </row>
    <row r="58" spans="8:15" hidden="1" outlineLevel="1">
      <c r="H58" s="231" t="s">
        <v>575</v>
      </c>
      <c r="I58" s="115">
        <f t="shared" ref="I58:N58" si="13">IF(I$32&gt;I56,IF(I55&gt;0.014,(0.8632*I55^-0.235),2.3), 0)</f>
        <v>0</v>
      </c>
      <c r="J58" s="115">
        <f t="shared" si="13"/>
        <v>0</v>
      </c>
      <c r="K58" s="115">
        <f t="shared" si="13"/>
        <v>0</v>
      </c>
      <c r="L58" s="115">
        <f t="shared" si="13"/>
        <v>0</v>
      </c>
      <c r="M58" s="115">
        <f t="shared" si="13"/>
        <v>0</v>
      </c>
      <c r="N58" s="116">
        <f t="shared" si="13"/>
        <v>0</v>
      </c>
      <c r="O58" s="282"/>
    </row>
    <row r="59" spans="8:15" hidden="1" outlineLevel="1">
      <c r="H59" s="231" t="s">
        <v>576</v>
      </c>
      <c r="I59" s="115">
        <f>(I57*$I$28*$C$9)+(I58*$C$3)</f>
        <v>251.5131919348247</v>
      </c>
      <c r="J59" s="115">
        <f>(J57*$J$28*$C$10)+(J58*$C$4)</f>
        <v>251.5131919348247</v>
      </c>
      <c r="K59" s="115">
        <f>(K57*$K$28*$C$11)+(K58*$C$5)</f>
        <v>5524.8746481000426</v>
      </c>
      <c r="L59" s="115">
        <f>(L57*$L$28*$C$12)+(L58*$C$6)</f>
        <v>1126.4527065895584</v>
      </c>
      <c r="M59" s="115">
        <f>(M57*$M$28*$C$13)+(M58*$C$7)</f>
        <v>2207.1374440521317</v>
      </c>
      <c r="N59" s="116">
        <f>(N57*$N$28*$C$14)+(N58*$C$8)</f>
        <v>2207.1374440521317</v>
      </c>
      <c r="O59" s="282"/>
    </row>
    <row r="60" spans="8:15" hidden="1" outlineLevel="1">
      <c r="H60" s="231" t="s">
        <v>577</v>
      </c>
      <c r="I60" s="115">
        <f>($C$26*I59*(($I$24/(0.02+(4.439*(LN(1/$F$7)^(1/1.483)))))^(1/$I$23)))*4.448/1000</f>
        <v>1.8768085323640502</v>
      </c>
      <c r="J60" s="115">
        <f>($C$26*J59*(($J$24/(0.02+(4.439*(LN(1/$F$7)^(1/1.483)))))^(1/$J$23)))*4.448/1000</f>
        <v>1.8768085323640502</v>
      </c>
      <c r="K60" s="115">
        <f>($C$26*K59*(($K$24/(0.02+(4.439*(LN(1/$F$7)^(1/1.483)))))^(1/$K$23)))*4.448/1000</f>
        <v>28.389403234595772</v>
      </c>
      <c r="L60" s="115">
        <f>($C$26*L59*(($L$24/(0.02+(4.439*(LN(1/$F$7)^(1/1.483)))))^(1/$L$23)))*4.448/1000</f>
        <v>5.7882435618824744</v>
      </c>
      <c r="M60" s="115">
        <f>($C$26*M59*(($M$24/(0.02+(4.439*(LN(1/$F$7)^(1/1.483)))))^(1/$M$23)))*4.448/1000</f>
        <v>9.9075466704811284</v>
      </c>
      <c r="N60" s="116">
        <f>($C$26*N59*(($N$24/(0.02+(4.439*(LN(1/$F$7)^(1/1.483)))))^(1/$N$23)))*4.448/1000</f>
        <v>9.9075466704811284</v>
      </c>
      <c r="O60" s="282"/>
    </row>
    <row r="61" spans="8:15" hidden="1" outlineLevel="1">
      <c r="H61" s="231" t="s">
        <v>584</v>
      </c>
      <c r="I61" s="236" t="str" cm="1">
        <f t="array" ref="I61">IF($I$22="Ball",INDEX(Table2[[   ]],_xlfn.XMATCH(I60,(Table2[[C '[kN']]:[C '[kN']]])*(Table2[[d '[mm']]:[d '[mm']]]&gt;$C$18),1)),INDEX(Table3[[Column4]:[Column4]],_xlfn.XMATCH(I60,(Table3[[C]:[C]])*(Table3[[d]:[d]]&gt;$C$18),1)))</f>
        <v xml:space="preserve">61804 </v>
      </c>
      <c r="J61" s="236" t="str" cm="1">
        <f t="array" ref="J61">IF($J$22="Ball",INDEX(Table2[[   ]],_xlfn.XMATCH(J60,(Table2[[C '[kN']]:[C '[kN']]])*(Table2[[d '[mm']]:[d '[mm']]]&gt;$C$19),1)),INDEX(Table3[[Column4]:[Column4]],_xlfn.XMATCH(J60,(Table3[[C]:[C]])*(Table3[[d]:[d]]&gt;$C$19),1)))</f>
        <v xml:space="preserve">61802 </v>
      </c>
      <c r="K61" s="236" t="str" cm="1">
        <f t="array" ref="K61">IF($K$22="Ball",INDEX(Table2[[   ]],_xlfn.XMATCH(K60,(Table2[[C '[kN']]:[C '[kN']]])*(Table2[[d '[mm']]:[d '[mm']]]&gt;$C$20),1)),INDEX(Table3[[Column4]:[Column4]],_xlfn.XMATCH(K60,(Table3[[C]:[C]])*(Table3[[d]:[d]]&gt;$C$20),1)))</f>
        <v>* 16014</v>
      </c>
      <c r="L61" s="236" t="str" cm="1">
        <f t="array" ref="L61">IF($L$22="Ball",INDEX(Table2[[   ]],_xlfn.XMATCH(L60,(Table2[[C '[kN']]:[C '[kN']]])*(Table2[[d '[mm']]:[d '[mm']]]&gt;$C$21),1)),INDEX(Table3[[Column4]:[Column4]],_xlfn.XMATCH(L60,(Table3[[C]:[C]])*(Table3[[d]:[d]]&gt;$C$21),1)))</f>
        <v xml:space="preserve">61809 </v>
      </c>
      <c r="M61" s="236" t="str" cm="1">
        <f t="array" ref="M61">IF($M$22="Ball",INDEX(Table2[[   ]],_xlfn.XMATCH(M60,(Table2[[C '[kN']]:[C '[kN']]])*(Table2[[d '[mm']]:[d '[mm']]]&gt;$C$22),1)),INDEX(Table3[[Column4]:[Column4]],_xlfn.XMATCH(M60,(Table3[[C]:[C]])*(Table3[[d]:[d]]&gt;$C$22),1)))</f>
        <v xml:space="preserve">61907 </v>
      </c>
      <c r="N61" s="237" t="str" cm="1">
        <f t="array" ref="N61">IF($N$22="Ball",INDEX(Table2[[   ]],_xlfn.XMATCH(N60,(Table2[[C '[kN']]:[C '[kN']]])*(Table2[[d '[mm']]:[d '[mm']]]&gt;$C$23),1)),INDEX(Table3[[Column4]:[Column4]],_xlfn.XMATCH(N60,(Table3[[C]:[C]])*(Table3[[d]:[d]]&gt;$C$23),1)))</f>
        <v xml:space="preserve">61907 </v>
      </c>
      <c r="O61" s="283"/>
    </row>
    <row r="62" spans="8:15" hidden="1" outlineLevel="1">
      <c r="H62" s="231" t="s">
        <v>569</v>
      </c>
      <c r="I62" s="115" cm="1">
        <f t="array" ref="I62">IF(I$22="Ball",_xlfn.XLOOKUP(I61,Table2[[   ]],Table2[C0 '[kN']]), _xlfn.XLOOKUP(I61,Table3[Column4],Table3[C0]))</f>
        <v>2.3199999999999998</v>
      </c>
      <c r="J62" s="115" cm="1">
        <f t="array" ref="J62">IF(J$22="Ball",_xlfn.XLOOKUP(J61,Table2[[   ]],Table2[C0 '[kN']]), _xlfn.XLOOKUP(J61,Table3[Column4],Table3[C0]))</f>
        <v>1.1000000000000001</v>
      </c>
      <c r="K62" s="115" cm="1">
        <f t="array" ref="K62">IF(K$22="Ball",_xlfn.XLOOKUP(K61,Table2[[   ]],Table2[C0 '[kN']]), _xlfn.XLOOKUP(K61,Table3[Column4],Table3[C0]))</f>
        <v>25</v>
      </c>
      <c r="L62" s="115" cm="1">
        <f t="array" ref="L62">IF(L$22="Ball",_xlfn.XLOOKUP(L61,Table2[[   ]],Table2[C0 '[kN']]), _xlfn.XLOOKUP(L61,Table3[Column4],Table3[C0]))</f>
        <v>6.1</v>
      </c>
      <c r="M62" s="115" cm="1">
        <f t="array" ref="M62">IF(M$22="Ball",_xlfn.XLOOKUP(M61,Table2[[   ]],Table2[C0 '[kN']]), _xlfn.XLOOKUP(M61,Table3[Column4],Table3[C0]))</f>
        <v>7.8</v>
      </c>
      <c r="N62" s="115" cm="1">
        <f t="array" ref="N62">IF(N$22="Ball",_xlfn.XLOOKUP(N61,Table2[[   ]],Table2[C0 '[kN']]), _xlfn.XLOOKUP(N61,Table3[Column4],Table3[C0]))</f>
        <v>7.8</v>
      </c>
      <c r="O62" s="281" t="s">
        <v>585</v>
      </c>
    </row>
    <row r="63" spans="8:15" hidden="1" outlineLevel="1">
      <c r="H63" s="231" t="s">
        <v>571</v>
      </c>
      <c r="I63" s="115">
        <f>($C$3*0.004448)/I62</f>
        <v>0</v>
      </c>
      <c r="J63" s="115">
        <f>($C$4*0.004448)/J62</f>
        <v>0</v>
      </c>
      <c r="K63" s="115">
        <f>($C$5*0.004448)/K62</f>
        <v>0</v>
      </c>
      <c r="L63" s="115">
        <f>($C$6*0.004448)/L62</f>
        <v>0</v>
      </c>
      <c r="M63" s="115">
        <f>($C$7*0.004448)/M62</f>
        <v>0</v>
      </c>
      <c r="N63" s="116">
        <f>($C$8*0.004448)/N62</f>
        <v>0</v>
      </c>
      <c r="O63" s="282"/>
    </row>
    <row r="64" spans="8:15" hidden="1" outlineLevel="1">
      <c r="H64" s="231" t="s">
        <v>572</v>
      </c>
      <c r="I64" s="115">
        <f t="shared" ref="I64:N64" si="14">IF(I63&lt;0.014, 0.19, (0.5065*I63^0.232))</f>
        <v>0.19</v>
      </c>
      <c r="J64" s="115">
        <f t="shared" si="14"/>
        <v>0.19</v>
      </c>
      <c r="K64" s="115">
        <f t="shared" si="14"/>
        <v>0.19</v>
      </c>
      <c r="L64" s="115">
        <f t="shared" si="14"/>
        <v>0.19</v>
      </c>
      <c r="M64" s="115">
        <f t="shared" si="14"/>
        <v>0.19</v>
      </c>
      <c r="N64" s="116">
        <f t="shared" si="14"/>
        <v>0.19</v>
      </c>
      <c r="O64" s="282"/>
    </row>
    <row r="65" spans="8:15" hidden="1" outlineLevel="1">
      <c r="H65" s="231" t="s">
        <v>574</v>
      </c>
      <c r="I65" s="115">
        <f t="shared" ref="I65:N65" si="15">IF(I$32&gt;I64, 0.56, 1)</f>
        <v>1</v>
      </c>
      <c r="J65" s="115">
        <f t="shared" si="15"/>
        <v>1</v>
      </c>
      <c r="K65" s="115">
        <f t="shared" si="15"/>
        <v>1</v>
      </c>
      <c r="L65" s="115">
        <f t="shared" si="15"/>
        <v>1</v>
      </c>
      <c r="M65" s="115">
        <f t="shared" si="15"/>
        <v>1</v>
      </c>
      <c r="N65" s="116">
        <f t="shared" si="15"/>
        <v>1</v>
      </c>
      <c r="O65" s="282"/>
    </row>
    <row r="66" spans="8:15" hidden="1" outlineLevel="1">
      <c r="H66" s="231" t="s">
        <v>575</v>
      </c>
      <c r="I66" s="115">
        <f t="shared" ref="I66:N66" si="16">IF(I$32&gt;I64,IF(I63&gt;0.014,(0.8632*I63^-0.235),2.3), 0)</f>
        <v>0</v>
      </c>
      <c r="J66" s="115">
        <f t="shared" si="16"/>
        <v>0</v>
      </c>
      <c r="K66" s="115">
        <f t="shared" si="16"/>
        <v>0</v>
      </c>
      <c r="L66" s="115">
        <f t="shared" si="16"/>
        <v>0</v>
      </c>
      <c r="M66" s="115">
        <f t="shared" si="16"/>
        <v>0</v>
      </c>
      <c r="N66" s="116">
        <f t="shared" si="16"/>
        <v>0</v>
      </c>
      <c r="O66" s="282"/>
    </row>
    <row r="67" spans="8:15" hidden="1" outlineLevel="1">
      <c r="H67" s="231" t="s">
        <v>576</v>
      </c>
      <c r="I67" s="115">
        <f>(I65*$I$28*$C$9)+(I66*$C$3)</f>
        <v>251.5131919348247</v>
      </c>
      <c r="J67" s="115">
        <f>(J65*$J$28*$C$10)+(J66*$C$4)</f>
        <v>251.5131919348247</v>
      </c>
      <c r="K67" s="115">
        <f>(K65*$K$28*$C$11)+(K66*$C$5)</f>
        <v>5524.8746481000426</v>
      </c>
      <c r="L67" s="115">
        <f>(L65*$L$28*$C$12)+(L66*$C$6)</f>
        <v>1126.4527065895584</v>
      </c>
      <c r="M67" s="115">
        <f>(M65*$M$28*$C$13)+(M66*$C$7)</f>
        <v>2207.1374440521317</v>
      </c>
      <c r="N67" s="116">
        <f>(N65*$N$28*$C$14)+(N66*$C$8)</f>
        <v>2207.1374440521317</v>
      </c>
      <c r="O67" s="282"/>
    </row>
    <row r="68" spans="8:15" hidden="1" outlineLevel="1">
      <c r="H68" s="231" t="s">
        <v>577</v>
      </c>
      <c r="I68" s="115">
        <f>($C$26*I67*(($I$24/(0.02+(4.439*(LN(1/$F$7)^(1/1.483)))))^(1/$I$23)))*4.448/1000</f>
        <v>1.8768085323640502</v>
      </c>
      <c r="J68" s="115">
        <f>($C$26*J67*(($J$24/(0.02+(4.439*(LN(1/$F$7)^(1/1.483)))))^(1/$J$23)))*4.448/1000</f>
        <v>1.8768085323640502</v>
      </c>
      <c r="K68" s="115">
        <f>($C$26*K67*(($K$24/(0.02+(4.439*(LN(1/$F$7)^(1/1.483)))))^(1/$K$23)))*4.448/1000</f>
        <v>28.389403234595772</v>
      </c>
      <c r="L68" s="115">
        <f>($C$26*L67*(($L$24/(0.02+(4.439*(LN(1/$F$7)^(1/1.483)))))^(1/$L$23)))*4.448/1000</f>
        <v>5.7882435618824744</v>
      </c>
      <c r="M68" s="115">
        <f>($C$26*M67*(($M$24/(0.02+(4.439*(LN(1/$F$7)^(1/1.483)))))^(1/$M$23)))*4.448/1000</f>
        <v>9.9075466704811284</v>
      </c>
      <c r="N68" s="116">
        <f>($C$26*N67*(($N$24/(0.02+(4.439*(LN(1/$F$7)^(1/1.483)))))^(1/$N$23)))*4.448/1000</f>
        <v>9.9075466704811284</v>
      </c>
      <c r="O68" s="282"/>
    </row>
    <row r="69" spans="8:15" hidden="1" outlineLevel="1">
      <c r="H69" s="238" t="s">
        <v>586</v>
      </c>
      <c r="I69" s="239" t="str" cm="1">
        <f t="array" ref="I69">IF($I$22="Ball",INDEX(Table2[[   ]],_xlfn.XMATCH(I68,(Table2[[C '[kN']]:[C '[kN']]])*(Table2[[d '[mm']]:[d '[mm']]]&gt;$C$18),1)),INDEX(Table3[[Column4]:[Column4]],_xlfn.XMATCH(I68,(Table3[[C]:[C]])*(Table3[[d]:[d]]&gt;$C$18),1)))</f>
        <v xml:space="preserve">61804 </v>
      </c>
      <c r="J69" s="239" t="str" cm="1">
        <f t="array" ref="J69">IF($J$22="Ball",INDEX(Table2[[   ]],_xlfn.XMATCH(J68,(Table2[[C '[kN']]:[C '[kN']]])*(Table2[[d '[mm']]:[d '[mm']]]&gt;$C$19),1)),INDEX(Table3[[Column4]:[Column4]],_xlfn.XMATCH(J68,(Table3[[C]:[C]])*(Table3[[d]:[d]]&gt;$C$19),1)))</f>
        <v xml:space="preserve">61802 </v>
      </c>
      <c r="K69" s="239" t="str" cm="1">
        <f t="array" ref="K69">IF($K$22="Ball",INDEX(Table2[[   ]],_xlfn.XMATCH(K68,(Table2[[C '[kN']]:[C '[kN']]])*(Table2[[d '[mm']]:[d '[mm']]]&gt;$C$20),1)),INDEX(Table3[[Column4]:[Column4]],_xlfn.XMATCH(K68,(Table3[[C]:[C]])*(Table3[[d]:[d]]&gt;$C$20),1)))</f>
        <v>* 16014</v>
      </c>
      <c r="L69" s="239" t="str" cm="1">
        <f t="array" ref="L69">IF($L$22="Ball",INDEX(Table2[[   ]],_xlfn.XMATCH(L68,(Table2[[C '[kN']]:[C '[kN']]])*(Table2[[d '[mm']]:[d '[mm']]]&gt;$C$21),1)),INDEX(Table3[[Column4]:[Column4]],_xlfn.XMATCH(L68,(Table3[[C]:[C]])*(Table3[[d]:[d]]&gt;$C$21),1)))</f>
        <v xml:space="preserve">61809 </v>
      </c>
      <c r="M69" s="239" t="str" cm="1">
        <f t="array" ref="M69">IF($M$22="Ball",INDEX(Table2[[   ]],_xlfn.XMATCH(M68,(Table2[[C '[kN']]:[C '[kN']]])*(Table2[[d '[mm']]:[d '[mm']]]&gt;$C$22),1)),INDEX(Table3[[Column4]:[Column4]],_xlfn.XMATCH(M68,(Table3[[C]:[C]])*(Table3[[d]:[d]]&gt;$C$22),1)))</f>
        <v xml:space="preserve">61907 </v>
      </c>
      <c r="N69" s="240" t="str" cm="1">
        <f t="array" ref="N69">IF($N$22="Ball",INDEX(Table2[[   ]],_xlfn.XMATCH(N68,(Table2[[C '[kN']]:[C '[kN']]])*(Table2[[d '[mm']]:[d '[mm']]]&gt;$C$23),1)),INDEX(Table3[[Column4]:[Column4]],_xlfn.XMATCH(N68,(Table3[[C]:[C]])*(Table3[[d]:[d]]&gt;$C$23),1)))</f>
        <v xml:space="preserve">61907 </v>
      </c>
      <c r="O69" s="283"/>
    </row>
    <row r="70" spans="8:15" collapsed="1">
      <c r="H70" s="284" t="s">
        <v>587</v>
      </c>
      <c r="I70" s="285"/>
      <c r="J70" s="285"/>
      <c r="K70" s="285"/>
      <c r="L70" s="285"/>
      <c r="M70" s="285"/>
      <c r="N70" s="286"/>
    </row>
    <row r="71" spans="8:15" ht="25.9">
      <c r="H71" s="241" t="s">
        <v>588</v>
      </c>
      <c r="I71" s="242" t="str">
        <f>IF(I22="Roller", IF(C3&gt;0,"Warning","Pass"),"Pass")</f>
        <v>Pass</v>
      </c>
      <c r="J71" s="242" t="str">
        <f>IF(J22="Roller", IF(C4&gt;0,"Warning","Pass"),"Pass")</f>
        <v>Pass</v>
      </c>
      <c r="K71" s="242" t="str">
        <f>IF(K22="Roller", IF(C5&gt;0,"Warning","Pass"),"Pass")</f>
        <v>Pass</v>
      </c>
      <c r="L71" s="242" t="str">
        <f>IF(L22="Roller", IF(C6&gt;0,"Warning","Pass"),"Pass")</f>
        <v>Pass</v>
      </c>
      <c r="M71" s="242" t="str">
        <f>IF(M22="Roller", IF(C7&gt;0,"Warning","Pass"),"Pass")</f>
        <v>Pass</v>
      </c>
      <c r="N71" s="242" t="str">
        <f>IF(N22="Roller", IF(C8&gt;0,"Warning","Pass"),"Pass")</f>
        <v>Pass</v>
      </c>
    </row>
    <row r="72" spans="8:15">
      <c r="H72" s="241" t="s">
        <v>589</v>
      </c>
      <c r="I72" s="243" t="str">
        <f>IF(I22=J22,IF($C$28=FALSE,I69,IF(IF(I$22="Ball",_xlfn.XLOOKUP(I69,Table2[[   ]],Table2[C '[kN']]), _xlfn.XLOOKUP(I69,Table3[Column4],Table3[C]))&gt;J68,I69,J69)),I69)</f>
        <v xml:space="preserve">61804 </v>
      </c>
      <c r="J72" s="243" t="str">
        <f>IF(I22=J22,IF($C$28=FALSE,J69,IF(IF(I$22="Ball",_xlfn.XLOOKUP(I69,Table2[[   ]],Table2[C '[kN']]), _xlfn.XLOOKUP(I69,Table3[Column4],Table3[C]))&gt;J68,I69,J69)),J69)</f>
        <v xml:space="preserve">61802 </v>
      </c>
      <c r="K72" s="243" t="str">
        <f>IF(K22=L22,IF($C$28=FALSE,K69,IF(IF(K$22="Ball",_xlfn.XLOOKUP(K69,Table2[[   ]],Table2[C '[kN']]), _xlfn.XLOOKUP(K69,Table3[Column4],Table3[C]))&gt;L68,K69,L69)),K69)</f>
        <v>* 16014</v>
      </c>
      <c r="L72" s="243" t="str">
        <f>IF(K22=L22,IF($C$28=FALSE,L69,IF(IF(K$22="Ball",_xlfn.XLOOKUP(K69,Table2[[   ]],Table2[C '[kN']]), _xlfn.XLOOKUP(K69,Table3[Column4],Table3[C]))&gt;L68,K69,L69)),L69)</f>
        <v xml:space="preserve">61809 </v>
      </c>
      <c r="M72" s="243" t="str">
        <f>IF(M22=N22,IF($C$28=FALSE,M69,IF(IF(M$22="Ball",_xlfn.XLOOKUP(M69,Table2[[   ]],Table2[C '[kN']]), _xlfn.XLOOKUP(M69,Table3[Column4],Table3[C]))&gt;N68,M69,N69)),M69)</f>
        <v xml:space="preserve">61907 </v>
      </c>
      <c r="N72" s="243" t="str">
        <f>IF(M22=N22,IF($C$28=FALSE,N69,IF(IF(M$22="Ball",_xlfn.XLOOKUP(M69,Table2[[   ]],Table2[C '[kN']]), _xlfn.XLOOKUP(M69,Table3[Column4],Table3[C]))&gt;N68,M69,N69)),N69)</f>
        <v xml:space="preserve">61907 </v>
      </c>
    </row>
  </sheetData>
  <mergeCells count="16">
    <mergeCell ref="E2:F2"/>
    <mergeCell ref="E9:F9"/>
    <mergeCell ref="E13:F13"/>
    <mergeCell ref="I20:N20"/>
    <mergeCell ref="A18:A23"/>
    <mergeCell ref="A15:A17"/>
    <mergeCell ref="A3:A14"/>
    <mergeCell ref="B2:C2"/>
    <mergeCell ref="A24:A28"/>
    <mergeCell ref="O62:O69"/>
    <mergeCell ref="H70:N70"/>
    <mergeCell ref="O29:O37"/>
    <mergeCell ref="O23:O26"/>
    <mergeCell ref="O38:O45"/>
    <mergeCell ref="O46:O53"/>
    <mergeCell ref="O54:O61"/>
  </mergeCells>
  <conditionalFormatting sqref="I71:N71">
    <cfRule type="containsText" dxfId="50" priority="1" operator="containsText" text="Warning">
      <formula>NOT(ISERROR(SEARCH("Warning",I71)))</formula>
    </cfRule>
    <cfRule type="containsText" dxfId="49" priority="2" operator="containsText" text="Pass">
      <formula>NOT(ISERROR(SEARCH("Pass",I71)))</formula>
    </cfRule>
  </conditionalFormatting>
  <dataValidations count="3">
    <dataValidation type="list" allowBlank="1" showInputMessage="1" showErrorMessage="1" sqref="I22:N22" xr:uid="{5068FE60-E770-4185-921C-60124DA7B3AC}">
      <formula1>$E$10:$E$11</formula1>
    </dataValidation>
    <dataValidation type="list" allowBlank="1" showInputMessage="1" showErrorMessage="1" sqref="I27:N27" xr:uid="{B830DBAD-F5D0-40F8-9B2A-D88923562DF0}">
      <formula1>$E$14:$E$15</formula1>
    </dataValidation>
    <dataValidation type="list" allowBlank="1" showInputMessage="1" showErrorMessage="1" sqref="C27:C28" xr:uid="{9F5EA23B-2790-4180-9335-2C45148CB5E9}">
      <formula1>$AG$3:$AG$4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32B00A-DAD7-4FA8-9A6A-2BD7956C22B4}">
  <sheetPr codeName="Sheet7"/>
  <dimension ref="B1:AF65"/>
  <sheetViews>
    <sheetView topLeftCell="A2" zoomScale="81" workbookViewId="0">
      <selection activeCell="M25" sqref="M25"/>
    </sheetView>
  </sheetViews>
  <sheetFormatPr defaultRowHeight="14.45"/>
  <cols>
    <col min="1" max="1" width="2.5703125" customWidth="1"/>
    <col min="6" max="6" width="3" customWidth="1"/>
    <col min="18" max="18" width="2.5703125" customWidth="1"/>
    <col min="30" max="30" width="2.42578125" customWidth="1"/>
  </cols>
  <sheetData>
    <row r="1" spans="2:29">
      <c r="H1" s="1"/>
      <c r="I1" s="1"/>
      <c r="J1" s="1"/>
      <c r="K1" s="1"/>
      <c r="L1" s="1"/>
      <c r="M1" s="1"/>
      <c r="N1" s="1"/>
      <c r="O1" s="1"/>
      <c r="P1" s="1"/>
      <c r="Q1" s="1"/>
    </row>
    <row r="2" spans="2:29" ht="23.45">
      <c r="G2" s="2" t="s">
        <v>590</v>
      </c>
      <c r="H2" s="1"/>
      <c r="I2" s="1"/>
      <c r="J2" s="1"/>
      <c r="K2" s="1"/>
      <c r="L2" s="1"/>
      <c r="M2" s="1"/>
      <c r="N2" s="1"/>
      <c r="O2" s="3"/>
      <c r="P2" s="4" t="s">
        <v>591</v>
      </c>
    </row>
    <row r="3" spans="2:29">
      <c r="B3" s="6"/>
      <c r="H3" s="1"/>
      <c r="I3" s="1"/>
      <c r="J3" s="1"/>
      <c r="K3" s="1"/>
      <c r="L3" s="1"/>
      <c r="M3" s="1"/>
      <c r="N3" s="1"/>
      <c r="O3" s="1"/>
      <c r="P3" s="1"/>
      <c r="Q3" s="1"/>
    </row>
    <row r="4" spans="2:29">
      <c r="H4" s="1"/>
      <c r="I4" s="1"/>
      <c r="J4" s="1"/>
      <c r="K4" s="1"/>
      <c r="L4" s="1"/>
      <c r="M4" s="1"/>
      <c r="N4" s="1"/>
      <c r="O4" s="1"/>
      <c r="P4" s="1"/>
      <c r="Q4" s="1"/>
      <c r="T4" s="5" t="s">
        <v>592</v>
      </c>
      <c r="U4" s="5" t="s">
        <v>337</v>
      </c>
      <c r="V4" s="5" t="s">
        <v>342</v>
      </c>
      <c r="W4" s="5" t="s">
        <v>348</v>
      </c>
      <c r="X4" s="5" t="s">
        <v>593</v>
      </c>
      <c r="Y4" s="1"/>
      <c r="Z4" s="1"/>
      <c r="AA4" s="1"/>
      <c r="AB4" s="1"/>
      <c r="AC4" s="1"/>
    </row>
    <row r="5" spans="2:29" ht="15.6">
      <c r="H5" s="1"/>
      <c r="I5" s="1"/>
      <c r="J5" s="1"/>
      <c r="K5" s="1"/>
      <c r="L5" s="1"/>
      <c r="M5" s="1"/>
      <c r="N5" s="1"/>
      <c r="O5" s="1"/>
      <c r="P5" s="1"/>
      <c r="Q5" s="1"/>
      <c r="S5" s="6" t="s">
        <v>594</v>
      </c>
      <c r="T5" s="1"/>
      <c r="U5" s="1"/>
      <c r="V5" s="1"/>
      <c r="W5" s="1"/>
      <c r="X5" s="1"/>
      <c r="Y5" s="5"/>
      <c r="Z5" s="5" t="s">
        <v>595</v>
      </c>
      <c r="AA5" s="5" t="s">
        <v>596</v>
      </c>
      <c r="AB5" s="5" t="s">
        <v>597</v>
      </c>
      <c r="AC5" s="1"/>
    </row>
    <row r="6" spans="2:29">
      <c r="H6" s="1"/>
      <c r="I6" s="1"/>
      <c r="J6" s="1"/>
      <c r="K6" s="1"/>
      <c r="L6" s="1"/>
      <c r="M6" s="1"/>
      <c r="N6" s="1"/>
      <c r="O6" s="1"/>
      <c r="P6" s="1"/>
      <c r="Q6" s="1"/>
      <c r="S6" s="7" t="s">
        <v>598</v>
      </c>
      <c r="T6" s="8" t="s">
        <v>351</v>
      </c>
      <c r="U6" s="9">
        <f>Gears!U30</f>
        <v>64</v>
      </c>
      <c r="V6" s="9">
        <f>Gears!U31</f>
        <v>196</v>
      </c>
      <c r="W6" s="9">
        <f>Gears!U35</f>
        <v>60</v>
      </c>
      <c r="X6" s="9">
        <f>Gears!U36</f>
        <v>90</v>
      </c>
      <c r="Y6" s="1"/>
      <c r="Z6" s="10">
        <f>U6/V6</f>
        <v>0.32653061224489793</v>
      </c>
      <c r="AA6" s="10">
        <f>W6/X6</f>
        <v>0.66666666666666663</v>
      </c>
      <c r="AB6" s="10">
        <f>Z6*AA6</f>
        <v>0.21768707482993194</v>
      </c>
      <c r="AC6" s="1"/>
    </row>
    <row r="7" spans="2:29" ht="15.6">
      <c r="H7" s="1"/>
      <c r="I7" s="1"/>
      <c r="J7" s="1"/>
      <c r="K7" s="1"/>
      <c r="L7" s="1"/>
      <c r="M7" s="1"/>
      <c r="N7" s="1"/>
      <c r="O7" s="1"/>
      <c r="P7" s="1"/>
      <c r="Q7" s="1"/>
      <c r="S7" s="7" t="s">
        <v>599</v>
      </c>
      <c r="T7" s="5" t="s">
        <v>600</v>
      </c>
      <c r="U7" s="9">
        <f>Gears!U27</f>
        <v>12</v>
      </c>
      <c r="V7" s="1"/>
      <c r="W7" s="9">
        <f>Gears!U28</f>
        <v>16</v>
      </c>
      <c r="X7" s="1"/>
      <c r="Y7" s="1"/>
      <c r="Z7" s="11" t="s">
        <v>601</v>
      </c>
      <c r="AA7" s="1"/>
      <c r="AB7" s="1"/>
      <c r="AC7" s="1"/>
    </row>
    <row r="8" spans="2:29">
      <c r="H8" s="1"/>
      <c r="I8" s="1"/>
      <c r="J8" s="1"/>
      <c r="K8" s="1"/>
      <c r="L8" s="1"/>
      <c r="M8" s="1"/>
      <c r="N8" s="1"/>
      <c r="O8" s="1"/>
      <c r="P8" s="1"/>
      <c r="Q8" s="1"/>
      <c r="S8" s="7" t="s">
        <v>22</v>
      </c>
      <c r="T8" s="5" t="s">
        <v>23</v>
      </c>
      <c r="U8" s="12">
        <f>Gears!U40</f>
        <v>5.333333333333333</v>
      </c>
      <c r="V8" s="12">
        <f>Gears!U41</f>
        <v>16.333333333333332</v>
      </c>
      <c r="W8" s="12">
        <f>Gears!U42</f>
        <v>3.75</v>
      </c>
      <c r="X8" s="12">
        <f>Gears!U43</f>
        <v>5.625</v>
      </c>
      <c r="Y8" s="1"/>
      <c r="Z8" s="1"/>
      <c r="AA8" s="1"/>
      <c r="AB8" s="1"/>
      <c r="AC8" s="1"/>
    </row>
    <row r="9" spans="2:29">
      <c r="F9" s="13"/>
      <c r="H9" s="1"/>
      <c r="I9" s="1"/>
      <c r="J9" s="1"/>
      <c r="K9" s="1"/>
      <c r="L9" s="1"/>
      <c r="M9" s="1"/>
      <c r="N9" s="1"/>
      <c r="O9" s="1"/>
      <c r="P9" s="1"/>
      <c r="Q9" s="1"/>
      <c r="S9" s="7" t="s">
        <v>512</v>
      </c>
      <c r="T9" s="5" t="s">
        <v>23</v>
      </c>
      <c r="U9" s="9">
        <f>Gears!R50</f>
        <v>0.75</v>
      </c>
      <c r="V9" s="1"/>
      <c r="W9" s="9">
        <f>Gears!T50</f>
        <v>1.75</v>
      </c>
      <c r="X9" s="1"/>
      <c r="Y9" s="1"/>
      <c r="Z9" s="1"/>
      <c r="AA9" s="1"/>
      <c r="AB9" s="1"/>
      <c r="AC9" s="1"/>
    </row>
    <row r="10" spans="2:29" ht="15.6">
      <c r="H10" s="1"/>
      <c r="I10" s="1"/>
      <c r="J10" s="1"/>
      <c r="K10" s="1"/>
      <c r="L10" s="1"/>
      <c r="M10" s="1"/>
      <c r="N10" s="1"/>
      <c r="O10" s="1"/>
      <c r="P10" s="1"/>
      <c r="Q10" s="1"/>
      <c r="S10" s="7" t="s">
        <v>602</v>
      </c>
      <c r="T10" s="8" t="s">
        <v>351</v>
      </c>
      <c r="U10" s="14">
        <f>Gears!P13</f>
        <v>7</v>
      </c>
      <c r="V10" s="1"/>
      <c r="W10" s="9">
        <f>Gears!Q13</f>
        <v>7</v>
      </c>
      <c r="X10" s="1"/>
      <c r="Y10" s="1"/>
      <c r="Z10" s="1"/>
      <c r="AA10" s="1"/>
      <c r="AB10" s="1"/>
      <c r="AC10" s="1"/>
    </row>
    <row r="11" spans="2:29">
      <c r="H11" s="1"/>
      <c r="I11" s="1"/>
      <c r="J11" s="1"/>
      <c r="K11" s="1"/>
      <c r="L11" s="1"/>
      <c r="M11" s="1"/>
      <c r="N11" s="1"/>
      <c r="O11" s="1"/>
      <c r="P11" s="1"/>
      <c r="Q11" s="1"/>
      <c r="S11" s="15" t="s">
        <v>318</v>
      </c>
      <c r="T11" s="1"/>
      <c r="U11" s="1"/>
      <c r="V11" s="1"/>
      <c r="W11" s="1"/>
      <c r="X11" s="1"/>
      <c r="Y11" s="1"/>
      <c r="Z11" s="1"/>
      <c r="AA11" s="1"/>
      <c r="AB11" s="1"/>
      <c r="AC11" s="1"/>
    </row>
    <row r="12" spans="2:29" ht="15.6">
      <c r="H12" s="1"/>
      <c r="I12" s="1"/>
      <c r="J12" s="1"/>
      <c r="K12" s="1"/>
      <c r="L12" s="1"/>
      <c r="M12" s="1"/>
      <c r="N12" s="1"/>
      <c r="O12" s="1"/>
      <c r="P12" s="1"/>
      <c r="Q12" s="1"/>
      <c r="S12" s="16" t="s">
        <v>321</v>
      </c>
      <c r="T12" s="5" t="s">
        <v>32</v>
      </c>
      <c r="U12" s="14">
        <f>Gears!D4</f>
        <v>472.69018098292923</v>
      </c>
      <c r="V12" s="14">
        <f>Gears!E4</f>
        <v>472.69018098292923</v>
      </c>
      <c r="W12" s="14">
        <f>Gears!F4</f>
        <v>2058.828343836758</v>
      </c>
      <c r="X12" s="14">
        <f>Gears!G4</f>
        <v>2058.828343836758</v>
      </c>
      <c r="Y12" s="1"/>
      <c r="Z12" s="17" t="s">
        <v>322</v>
      </c>
      <c r="AA12" s="1"/>
      <c r="AB12" s="1"/>
    </row>
    <row r="13" spans="2:29" ht="15.6">
      <c r="H13" s="1"/>
      <c r="I13" s="1"/>
      <c r="J13" s="1"/>
      <c r="K13" s="1"/>
      <c r="L13" s="1"/>
      <c r="M13" s="1"/>
      <c r="N13" s="1"/>
      <c r="O13" s="1"/>
      <c r="P13" s="1"/>
      <c r="Q13" s="1"/>
      <c r="S13" s="18" t="s">
        <v>329</v>
      </c>
      <c r="T13" s="5" t="s">
        <v>148</v>
      </c>
      <c r="U13" s="14">
        <f>Gears!D5</f>
        <v>9927.8832545724799</v>
      </c>
      <c r="V13" s="14">
        <f>Gears!E5</f>
        <v>29163.157060306654</v>
      </c>
      <c r="W13" s="14">
        <f>Gears!F5</f>
        <v>13704.301771547907</v>
      </c>
      <c r="X13" s="14">
        <f>Gears!G5</f>
        <v>20119.081324187358</v>
      </c>
      <c r="Y13" s="1"/>
      <c r="Z13" s="7" t="s">
        <v>330</v>
      </c>
      <c r="AA13" s="3" t="s">
        <v>453</v>
      </c>
    </row>
    <row r="14" spans="2:29" ht="15.6">
      <c r="H14" s="1"/>
      <c r="I14" s="1"/>
      <c r="J14" s="1"/>
      <c r="K14" s="1"/>
      <c r="L14" s="1"/>
      <c r="M14" s="1"/>
      <c r="N14" s="1"/>
      <c r="O14" s="1"/>
      <c r="P14" s="1"/>
      <c r="Q14" s="1"/>
      <c r="S14" s="18" t="s">
        <v>335</v>
      </c>
      <c r="T14" s="5" t="s">
        <v>148</v>
      </c>
      <c r="U14" s="19">
        <f>Gears!D6</f>
        <v>7.2540080319702289</v>
      </c>
      <c r="V14" s="19">
        <f>Gears!E6</f>
        <v>2.7059051797328855</v>
      </c>
      <c r="W14" s="19">
        <f>Gears!F6</f>
        <v>5.7582457729208496</v>
      </c>
      <c r="X14" s="19">
        <f>Gears!G6</f>
        <v>4.0543909194119339</v>
      </c>
      <c r="Y14" s="1"/>
      <c r="Z14" s="7" t="s">
        <v>336</v>
      </c>
      <c r="AA14" s="9">
        <f>Gears!J6</f>
        <v>60840</v>
      </c>
      <c r="AB14" s="17" t="s">
        <v>148</v>
      </c>
    </row>
    <row r="15" spans="2:29" ht="15.6">
      <c r="H15" s="1"/>
      <c r="I15" s="1"/>
      <c r="J15" s="1"/>
      <c r="K15" s="1"/>
      <c r="L15" s="1"/>
      <c r="M15" s="1"/>
      <c r="N15" s="1"/>
      <c r="O15" s="1"/>
      <c r="P15" s="1"/>
      <c r="Q15" s="1"/>
      <c r="S15" s="18" t="s">
        <v>340</v>
      </c>
      <c r="T15" s="5" t="s">
        <v>148</v>
      </c>
      <c r="U15" s="14">
        <f>Gears!D7</f>
        <v>84637.193366312524</v>
      </c>
      <c r="V15" s="14">
        <f>Gears!E7</f>
        <v>84637.193366312524</v>
      </c>
      <c r="W15" s="14">
        <f>Gears!F7</f>
        <v>156828.34625919213</v>
      </c>
      <c r="X15" s="14">
        <f>Gears!G7</f>
        <v>156828.34625919213</v>
      </c>
      <c r="Y15" s="1"/>
      <c r="Z15" s="7" t="s">
        <v>341</v>
      </c>
      <c r="AA15" s="9">
        <f>Gears!J7</f>
        <v>189000</v>
      </c>
      <c r="AB15" s="17" t="s">
        <v>148</v>
      </c>
      <c r="AC15" s="1"/>
    </row>
    <row r="16" spans="2:29" ht="15.6">
      <c r="H16" s="1"/>
      <c r="I16" s="1"/>
      <c r="J16" s="1"/>
      <c r="K16" s="1"/>
      <c r="L16" s="1"/>
      <c r="M16" s="1"/>
      <c r="N16" s="1"/>
      <c r="O16" s="1"/>
      <c r="P16" s="1"/>
      <c r="Q16" s="1"/>
      <c r="S16" s="18" t="s">
        <v>346</v>
      </c>
      <c r="T16" s="5" t="s">
        <v>148</v>
      </c>
      <c r="U16" s="19">
        <f>Gears!D8</f>
        <v>2.3167148313055046</v>
      </c>
      <c r="V16" s="19">
        <f>Gears!E8</f>
        <v>2.3527751749698051</v>
      </c>
      <c r="W16" s="19">
        <f>Gears!F8</f>
        <v>1.2697467784444452</v>
      </c>
      <c r="X16" s="19">
        <f>Gears!G8</f>
        <v>1.2768714572396165</v>
      </c>
      <c r="Y16" s="1"/>
      <c r="Z16" s="17" t="s">
        <v>347</v>
      </c>
      <c r="AA16" s="1"/>
      <c r="AB16" s="1"/>
    </row>
    <row r="17" spans="7:32">
      <c r="H17" s="1"/>
      <c r="I17" s="1"/>
      <c r="J17" s="1"/>
      <c r="K17" s="1"/>
      <c r="L17" s="1"/>
      <c r="M17" s="1"/>
      <c r="N17" s="1"/>
      <c r="O17" s="1"/>
      <c r="P17" s="1"/>
      <c r="Q17" s="1"/>
      <c r="S17" s="7" t="s">
        <v>350</v>
      </c>
      <c r="T17" s="8" t="s">
        <v>351</v>
      </c>
      <c r="U17" s="20">
        <f>Gears!D9</f>
        <v>0.47</v>
      </c>
      <c r="V17" s="20">
        <f>Gears!E9</f>
        <v>0.49</v>
      </c>
      <c r="W17" s="20">
        <f>Gears!F9</f>
        <v>0.46</v>
      </c>
      <c r="X17" s="20">
        <f>Gears!G9</f>
        <v>0.47</v>
      </c>
      <c r="Y17" s="1"/>
      <c r="Z17" s="7" t="s">
        <v>330</v>
      </c>
      <c r="AA17" s="3" t="s">
        <v>453</v>
      </c>
    </row>
    <row r="18" spans="7:32">
      <c r="H18" s="1"/>
      <c r="I18" s="1"/>
      <c r="J18" s="1"/>
      <c r="K18" s="1"/>
      <c r="L18" s="1"/>
      <c r="M18" s="1"/>
      <c r="N18" s="1"/>
      <c r="O18" s="1"/>
      <c r="P18" s="1"/>
      <c r="Q18" s="1"/>
      <c r="S18" s="7" t="s">
        <v>353</v>
      </c>
      <c r="T18" s="8" t="s">
        <v>351</v>
      </c>
      <c r="U18" s="10">
        <f>Gears!D10</f>
        <v>0.1211407418255401</v>
      </c>
      <c r="V18" s="10">
        <f>Gears!E10</f>
        <v>0.1211407418255401</v>
      </c>
      <c r="W18" s="10">
        <f>Gears!F10</f>
        <v>9.6418141452980916E-2</v>
      </c>
      <c r="X18" s="10">
        <f>Gears!G10</f>
        <v>9.6418141452980916E-2</v>
      </c>
      <c r="Y18" s="1"/>
      <c r="Z18" s="7" t="s">
        <v>336</v>
      </c>
      <c r="AA18" s="9">
        <f>Gears!J10</f>
        <v>60840</v>
      </c>
      <c r="AB18" s="17" t="s">
        <v>148</v>
      </c>
    </row>
    <row r="19" spans="7:32" ht="15.6">
      <c r="H19" s="1"/>
      <c r="I19" s="1"/>
      <c r="J19" s="1"/>
      <c r="K19" s="1"/>
      <c r="L19" s="1"/>
      <c r="M19" s="1"/>
      <c r="N19" s="1"/>
      <c r="O19" s="1"/>
      <c r="P19" s="1"/>
      <c r="Q19" s="1"/>
      <c r="S19" s="7" t="s">
        <v>355</v>
      </c>
      <c r="T19" s="8" t="s">
        <v>351</v>
      </c>
      <c r="U19" s="19">
        <f>Gears!D11</f>
        <v>2300</v>
      </c>
      <c r="V19" s="21"/>
      <c r="W19" s="21"/>
      <c r="X19" s="21"/>
      <c r="Y19" s="1"/>
      <c r="Z19" s="7" t="s">
        <v>341</v>
      </c>
      <c r="AA19" s="9">
        <f>Gears!J11</f>
        <v>189000</v>
      </c>
      <c r="AB19" s="17" t="s">
        <v>148</v>
      </c>
      <c r="AC19" s="1"/>
    </row>
    <row r="20" spans="7:32" ht="15.6">
      <c r="G20" s="6" t="s">
        <v>603</v>
      </c>
      <c r="H20" s="1"/>
      <c r="I20" s="1"/>
      <c r="J20" s="1"/>
      <c r="K20" s="1"/>
      <c r="L20" s="15" t="s">
        <v>604</v>
      </c>
      <c r="M20" s="1"/>
      <c r="N20" s="1"/>
      <c r="O20" s="1"/>
      <c r="P20" s="1"/>
      <c r="Q20" s="1"/>
      <c r="S20" s="7" t="s">
        <v>359</v>
      </c>
      <c r="T20" s="5" t="s">
        <v>360</v>
      </c>
      <c r="U20" s="14">
        <f>Gears!D12</f>
        <v>13.962634015954634</v>
      </c>
      <c r="V20" s="21"/>
      <c r="W20" s="14">
        <f>Gears!F12</f>
        <v>3.2057067893773401</v>
      </c>
      <c r="X20" s="21"/>
      <c r="Y20" s="1"/>
      <c r="Z20" s="7"/>
      <c r="AA20" s="1"/>
      <c r="AB20" s="1"/>
      <c r="AC20" s="1"/>
    </row>
    <row r="21" spans="7:32" ht="15.6">
      <c r="G21" s="7" t="s">
        <v>377</v>
      </c>
      <c r="H21" s="3" t="str" cm="1">
        <f t="array" ref="H21">INDEX(Shafts!AH3:AH45,Shafts!AF6)</f>
        <v>1095 Normalized</v>
      </c>
      <c r="I21" s="3" t="str">
        <f>$H$21</f>
        <v>1095 Normalized</v>
      </c>
      <c r="J21" s="3" t="str">
        <f t="shared" ref="J21:K21" si="0">$H$21</f>
        <v>1095 Normalized</v>
      </c>
      <c r="K21" s="3" t="str">
        <f t="shared" si="0"/>
        <v>1095 Normalized</v>
      </c>
      <c r="L21" s="7" t="s">
        <v>605</v>
      </c>
      <c r="M21" s="10">
        <f>Gears!U46</f>
        <v>10.833333333333332</v>
      </c>
      <c r="N21" s="17" t="s">
        <v>23</v>
      </c>
      <c r="O21" s="1"/>
      <c r="P21" s="1"/>
      <c r="Q21" s="1"/>
      <c r="S21" s="7" t="s">
        <v>366</v>
      </c>
      <c r="T21" s="8" t="s">
        <v>351</v>
      </c>
      <c r="U21" s="19">
        <f>Gears!D13</f>
        <v>1.0416654888015819</v>
      </c>
      <c r="V21" s="19">
        <f>Gears!E13</f>
        <v>1.0416654888015819</v>
      </c>
      <c r="W21" s="19">
        <f>Gears!F13</f>
        <v>1.0200424553327636</v>
      </c>
      <c r="X21" s="19">
        <f>Gears!G13</f>
        <v>1.0200424553327636</v>
      </c>
      <c r="Y21" s="1"/>
      <c r="Z21" s="1"/>
      <c r="AA21" s="22"/>
      <c r="AB21" s="1"/>
      <c r="AC21" s="1"/>
    </row>
    <row r="22" spans="7:32" ht="15.6">
      <c r="G22" s="7" t="s">
        <v>606</v>
      </c>
      <c r="H22" s="9">
        <f>Shafts!B10</f>
        <v>147</v>
      </c>
      <c r="I22" s="5" t="s">
        <v>11</v>
      </c>
      <c r="J22" s="1"/>
      <c r="K22" s="1"/>
      <c r="L22" s="7" t="s">
        <v>607</v>
      </c>
      <c r="M22" s="10">
        <f>Gears!U47</f>
        <v>4.6875</v>
      </c>
      <c r="N22" s="17" t="s">
        <v>23</v>
      </c>
      <c r="O22" s="23"/>
      <c r="P22" s="6"/>
      <c r="S22" s="7" t="s">
        <v>370</v>
      </c>
      <c r="T22" s="8" t="s">
        <v>351</v>
      </c>
      <c r="U22" s="24">
        <f>Gears!D14</f>
        <v>1.25</v>
      </c>
      <c r="V22" s="1"/>
      <c r="W22" s="1"/>
      <c r="X22" s="1"/>
      <c r="Y22" s="1"/>
      <c r="Z22" s="1"/>
      <c r="AA22" s="1"/>
      <c r="AB22" s="1"/>
      <c r="AC22" s="1"/>
    </row>
    <row r="23" spans="7:32" ht="15.6">
      <c r="G23" s="7" t="s">
        <v>608</v>
      </c>
      <c r="H23" s="9">
        <f>Shafts!B12</f>
        <v>72</v>
      </c>
      <c r="I23" s="5" t="s">
        <v>11</v>
      </c>
      <c r="J23" s="1"/>
      <c r="K23" s="1"/>
      <c r="L23" s="7" t="s">
        <v>609</v>
      </c>
      <c r="M23" s="10">
        <f>Gears!U7</f>
        <v>8</v>
      </c>
      <c r="N23" s="17" t="s">
        <v>23</v>
      </c>
      <c r="O23" s="1"/>
      <c r="P23" s="1"/>
      <c r="Q23" s="1"/>
      <c r="S23" s="7" t="s">
        <v>373</v>
      </c>
      <c r="T23" s="8" t="s">
        <v>351</v>
      </c>
      <c r="U23" s="10">
        <f>Gears!D15</f>
        <v>1</v>
      </c>
      <c r="V23" s="10">
        <f>Gears!E15</f>
        <v>1</v>
      </c>
      <c r="W23" s="10">
        <f>Gears!F15</f>
        <v>1</v>
      </c>
      <c r="X23" s="10">
        <f>Gears!G15</f>
        <v>1</v>
      </c>
      <c r="Y23" s="1"/>
      <c r="Z23" s="1"/>
      <c r="AA23" s="25"/>
      <c r="AB23" s="1"/>
      <c r="AC23" s="1"/>
      <c r="AF23" s="6"/>
    </row>
    <row r="24" spans="7:32" ht="15.6">
      <c r="G24" s="7" t="s">
        <v>610</v>
      </c>
      <c r="H24" s="14">
        <f>Shafts!B25</f>
        <v>46.471087714198255</v>
      </c>
      <c r="I24" s="5" t="s">
        <v>11</v>
      </c>
      <c r="J24" s="1"/>
      <c r="K24" s="1"/>
      <c r="L24" s="7" t="s">
        <v>611</v>
      </c>
      <c r="M24" s="19">
        <f>Gears!U45</f>
        <v>42.119479693268431</v>
      </c>
      <c r="N24" s="17" t="s">
        <v>612</v>
      </c>
      <c r="O24" s="1"/>
      <c r="P24" s="1"/>
      <c r="Q24" s="1"/>
      <c r="S24" s="7" t="s">
        <v>376</v>
      </c>
      <c r="T24" s="8" t="s">
        <v>351</v>
      </c>
      <c r="U24" s="10">
        <f>Gears!D16</f>
        <v>1.0661104125</v>
      </c>
      <c r="V24" s="10">
        <f>Gears!E16</f>
        <v>1.0661104125</v>
      </c>
      <c r="W24" s="10">
        <f>Gears!F16</f>
        <v>1.1206580791666667</v>
      </c>
      <c r="X24" s="10">
        <f>Gears!G16</f>
        <v>1.1206580791666667</v>
      </c>
      <c r="Y24" s="1"/>
      <c r="Z24" s="1"/>
      <c r="AA24" s="1"/>
      <c r="AB24" s="1"/>
      <c r="AC24" s="1"/>
    </row>
    <row r="25" spans="7:32" ht="15.6">
      <c r="G25" s="17" t="s">
        <v>613</v>
      </c>
      <c r="H25" s="1"/>
      <c r="I25" s="1"/>
      <c r="J25" s="1"/>
      <c r="K25" s="1"/>
      <c r="L25" s="1"/>
      <c r="M25" s="1"/>
      <c r="N25" s="1"/>
      <c r="O25" s="1"/>
      <c r="P25" s="1"/>
      <c r="Q25" s="1"/>
      <c r="S25" s="7" t="s">
        <v>381</v>
      </c>
      <c r="T25" s="8" t="s">
        <v>351</v>
      </c>
      <c r="U25" s="10">
        <f>Gears!D17</f>
        <v>1.1860347429465559</v>
      </c>
      <c r="V25" s="10">
        <f>Gears!E17</f>
        <v>1.2996003759791244</v>
      </c>
      <c r="W25" s="10">
        <f>Gears!F17</f>
        <v>1.2996003759791244</v>
      </c>
      <c r="X25" s="10">
        <f>Gears!G17</f>
        <v>1.3433725943799051</v>
      </c>
      <c r="Y25" s="1"/>
      <c r="Z25" s="1"/>
      <c r="AA25" s="1"/>
      <c r="AB25" s="1"/>
      <c r="AC25" s="1"/>
    </row>
    <row r="26" spans="7:32" ht="15.6">
      <c r="H26" s="5" t="s">
        <v>337</v>
      </c>
      <c r="I26" s="5" t="s">
        <v>342</v>
      </c>
      <c r="J26" s="5" t="s">
        <v>348</v>
      </c>
      <c r="K26" s="5" t="s">
        <v>593</v>
      </c>
      <c r="L26" s="1"/>
      <c r="M26" s="1"/>
      <c r="N26" s="1"/>
      <c r="O26" s="1"/>
      <c r="P26" s="1"/>
      <c r="Q26" s="1"/>
      <c r="S26" s="7" t="s">
        <v>383</v>
      </c>
      <c r="T26" s="8" t="s">
        <v>351</v>
      </c>
      <c r="U26" s="10">
        <f>Gears!D18</f>
        <v>1.0394987013904402</v>
      </c>
      <c r="V26" s="10">
        <f>Gears!E18</f>
        <v>1.0556788025855495</v>
      </c>
      <c r="W26" s="10">
        <f>Gears!F18</f>
        <v>1.0556788025855495</v>
      </c>
      <c r="X26" s="10">
        <f>Gears!G18</f>
        <v>1.0616023241151786</v>
      </c>
      <c r="Y26" s="1"/>
      <c r="Z26" s="1"/>
      <c r="AA26" s="1"/>
      <c r="AB26" s="1"/>
      <c r="AC26" s="1"/>
    </row>
    <row r="27" spans="7:32" ht="15.6">
      <c r="G27" s="7" t="s">
        <v>614</v>
      </c>
      <c r="H27" s="9" t="s">
        <v>615</v>
      </c>
      <c r="I27" s="9" t="s">
        <v>615</v>
      </c>
      <c r="J27" s="9" t="s">
        <v>615</v>
      </c>
      <c r="K27" s="9" t="s">
        <v>615</v>
      </c>
      <c r="L27" s="1"/>
      <c r="M27" s="1"/>
      <c r="N27" s="1"/>
      <c r="O27" s="1"/>
      <c r="P27" s="1"/>
      <c r="Q27" s="1"/>
      <c r="S27" s="7" t="s">
        <v>386</v>
      </c>
      <c r="T27" s="8" t="s">
        <v>351</v>
      </c>
      <c r="U27" s="19">
        <f>Gears!D19</f>
        <v>1.001963550272702</v>
      </c>
      <c r="V27" s="21"/>
      <c r="W27" s="21"/>
      <c r="X27" s="21"/>
      <c r="Y27" s="1"/>
      <c r="Z27" s="1"/>
      <c r="AA27" s="1"/>
      <c r="AB27" s="1"/>
      <c r="AC27" s="1"/>
    </row>
    <row r="28" spans="7:32" ht="15.6">
      <c r="G28" s="7" t="s">
        <v>616</v>
      </c>
      <c r="H28" s="26"/>
      <c r="I28" s="27"/>
      <c r="J28" s="27"/>
      <c r="K28" s="27"/>
      <c r="L28" s="27"/>
      <c r="M28" s="27"/>
      <c r="N28" s="27"/>
      <c r="O28" s="27"/>
      <c r="P28" s="27"/>
      <c r="Q28" s="27"/>
      <c r="S28" s="7" t="s">
        <v>388</v>
      </c>
      <c r="T28" s="8" t="s">
        <v>351</v>
      </c>
      <c r="U28" s="19">
        <f>Gears!D20</f>
        <v>1</v>
      </c>
      <c r="V28" s="21"/>
      <c r="W28" s="21"/>
      <c r="X28" s="21"/>
      <c r="Y28" s="1"/>
      <c r="Z28" s="1"/>
      <c r="AA28" s="1"/>
      <c r="AB28" s="1"/>
      <c r="AC28" s="1"/>
    </row>
    <row r="29" spans="7:32" ht="15.6">
      <c r="G29" s="15" t="s">
        <v>312</v>
      </c>
      <c r="H29" s="1"/>
      <c r="I29" s="1"/>
      <c r="J29" s="1"/>
      <c r="K29" s="1"/>
      <c r="L29" s="1"/>
      <c r="M29" s="1"/>
      <c r="N29" s="1"/>
      <c r="O29" s="1"/>
      <c r="P29" s="1"/>
      <c r="Q29" s="1"/>
      <c r="S29" s="7" t="s">
        <v>389</v>
      </c>
      <c r="T29" s="8" t="s">
        <v>351</v>
      </c>
      <c r="U29" s="19">
        <f>Gears!D21</f>
        <v>1</v>
      </c>
      <c r="V29" s="21"/>
      <c r="W29" s="21"/>
      <c r="X29" s="21"/>
      <c r="Y29" s="1"/>
      <c r="Z29" s="1"/>
      <c r="AA29" s="1"/>
      <c r="AB29" s="1"/>
      <c r="AC29" s="1"/>
    </row>
    <row r="30" spans="7:32" ht="15.6">
      <c r="H30" s="5" t="s">
        <v>592</v>
      </c>
      <c r="I30" s="1" t="s">
        <v>617</v>
      </c>
      <c r="J30" s="1" t="s">
        <v>618</v>
      </c>
      <c r="K30" s="1" t="s">
        <v>619</v>
      </c>
      <c r="L30" s="1" t="s">
        <v>620</v>
      </c>
      <c r="M30" s="1"/>
      <c r="N30" s="1"/>
      <c r="O30" s="1"/>
      <c r="P30" s="1"/>
      <c r="Q30" s="1"/>
      <c r="S30" s="7" t="s">
        <v>392</v>
      </c>
      <c r="T30" s="8" t="s">
        <v>351</v>
      </c>
      <c r="U30" s="9">
        <f>Gears!D22</f>
        <v>1</v>
      </c>
      <c r="V30" s="9">
        <f>Gears!E22</f>
        <v>1</v>
      </c>
      <c r="W30" s="9">
        <f>Gears!F22</f>
        <v>1</v>
      </c>
      <c r="X30" s="9">
        <f>Gears!G22</f>
        <v>1</v>
      </c>
      <c r="Y30" s="1"/>
      <c r="Z30" s="1"/>
      <c r="AA30" s="1"/>
      <c r="AB30" s="1"/>
      <c r="AC30" s="1"/>
    </row>
    <row r="31" spans="7:32">
      <c r="G31" s="7" t="s">
        <v>621</v>
      </c>
      <c r="H31" s="5" t="s">
        <v>23</v>
      </c>
      <c r="I31" s="10">
        <f>Loads!C40</f>
        <v>0.45300000000000001</v>
      </c>
      <c r="J31" s="10">
        <v>1</v>
      </c>
      <c r="K31" s="10">
        <v>1</v>
      </c>
      <c r="L31" s="10">
        <v>0.45300000000000001</v>
      </c>
      <c r="M31" s="1"/>
      <c r="N31" s="1"/>
      <c r="O31" s="1"/>
      <c r="P31" s="1"/>
      <c r="Q31" s="1"/>
      <c r="S31" s="28" t="s">
        <v>43</v>
      </c>
      <c r="T31" s="1"/>
      <c r="U31" s="1"/>
      <c r="V31" s="1"/>
      <c r="W31" s="1"/>
      <c r="X31" s="1"/>
      <c r="Y31" s="1"/>
      <c r="Z31" s="1"/>
      <c r="AA31" s="5"/>
      <c r="AB31" s="1"/>
      <c r="AC31" s="1"/>
    </row>
    <row r="32" spans="7:32">
      <c r="G32" s="7" t="s">
        <v>22</v>
      </c>
      <c r="H32" s="5" t="s">
        <v>23</v>
      </c>
      <c r="I32" s="12">
        <f>Shafts!I46</f>
        <v>0.97873162978643702</v>
      </c>
      <c r="J32" s="12">
        <f>Shafts!J46</f>
        <v>1.4118770846756419</v>
      </c>
      <c r="K32" s="12">
        <f>Shafts!J46</f>
        <v>1.4118770846756419</v>
      </c>
      <c r="L32" s="12">
        <f>Shafts!K46</f>
        <v>0.97873162978643702</v>
      </c>
      <c r="M32" s="1"/>
      <c r="N32" s="1"/>
      <c r="O32" s="1"/>
      <c r="P32" s="1"/>
      <c r="Q32" s="1"/>
      <c r="R32" s="29"/>
      <c r="T32" s="1"/>
      <c r="U32" s="5" t="s">
        <v>203</v>
      </c>
      <c r="V32" s="5" t="s">
        <v>206</v>
      </c>
      <c r="W32" s="5" t="s">
        <v>509</v>
      </c>
      <c r="X32" s="5" t="s">
        <v>510</v>
      </c>
      <c r="Y32" s="5" t="s">
        <v>511</v>
      </c>
      <c r="Z32" s="5" t="s">
        <v>512</v>
      </c>
      <c r="AA32" s="1"/>
      <c r="AB32" s="1"/>
      <c r="AC32" s="1"/>
    </row>
    <row r="33" spans="7:29"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29"/>
      <c r="S33" s="7" t="s">
        <v>326</v>
      </c>
      <c r="T33" s="5" t="s">
        <v>622</v>
      </c>
      <c r="U33" s="12">
        <f>Bearings!I3</f>
        <v>1.1187306777261001</v>
      </c>
      <c r="V33" s="12">
        <f>Bearings!J3</f>
        <v>1.1187306777261001</v>
      </c>
      <c r="W33" s="12">
        <f>Bearings!K3</f>
        <v>24.574642434748988</v>
      </c>
      <c r="X33" s="12">
        <f>Bearings!L3</f>
        <v>5.0104616389103551</v>
      </c>
      <c r="Y33" s="12">
        <f>Bearings!M3</f>
        <v>9.8173473511438818</v>
      </c>
      <c r="Z33" s="12">
        <f>Bearings!N3</f>
        <v>9.8173473511438818</v>
      </c>
      <c r="AA33" s="1"/>
      <c r="AB33" s="1"/>
      <c r="AC33" s="1"/>
    </row>
    <row r="34" spans="7:29"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29"/>
      <c r="S34" s="7" t="s">
        <v>623</v>
      </c>
      <c r="T34" s="5" t="s">
        <v>622</v>
      </c>
      <c r="U34" s="12">
        <f>Bearings!I4</f>
        <v>0</v>
      </c>
      <c r="V34" s="12">
        <f>Bearings!J4</f>
        <v>0</v>
      </c>
      <c r="W34" s="12">
        <f>Bearings!K4</f>
        <v>0</v>
      </c>
      <c r="X34" s="12">
        <f>Bearings!L4</f>
        <v>0</v>
      </c>
      <c r="Y34" s="12">
        <f>Bearings!M4</f>
        <v>0</v>
      </c>
      <c r="Z34" s="12">
        <f>Bearings!N4</f>
        <v>0</v>
      </c>
      <c r="AA34" s="1"/>
      <c r="AB34" s="1"/>
      <c r="AC34" s="1"/>
    </row>
    <row r="35" spans="7:29"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S35" s="7" t="s">
        <v>624</v>
      </c>
      <c r="T35" s="5" t="s">
        <v>41</v>
      </c>
      <c r="U35" s="14">
        <f>Bearings!I5</f>
        <v>20</v>
      </c>
      <c r="V35" s="14">
        <f>Bearings!J5</f>
        <v>15</v>
      </c>
      <c r="W35" s="14">
        <f>Bearings!K5</f>
        <v>70</v>
      </c>
      <c r="X35" s="14">
        <f>Bearings!L5</f>
        <v>45</v>
      </c>
      <c r="Y35" s="14">
        <f>Bearings!M5</f>
        <v>35</v>
      </c>
      <c r="Z35" s="14">
        <f>Bearings!N5</f>
        <v>35</v>
      </c>
      <c r="AA35" s="1"/>
      <c r="AB35" s="1"/>
      <c r="AC35" s="1"/>
    </row>
    <row r="36" spans="7:29"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S36" s="7" t="s">
        <v>625</v>
      </c>
      <c r="T36" s="5" t="s">
        <v>41</v>
      </c>
      <c r="U36" s="14">
        <f>Bearings!I6</f>
        <v>32</v>
      </c>
      <c r="V36" s="14">
        <f>Bearings!J6</f>
        <v>24</v>
      </c>
      <c r="W36" s="14">
        <f>Bearings!K6</f>
        <v>110</v>
      </c>
      <c r="X36" s="14">
        <f>Bearings!L6</f>
        <v>58</v>
      </c>
      <c r="Y36" s="14">
        <f>Bearings!M6</f>
        <v>55</v>
      </c>
      <c r="Z36" s="14">
        <f>Bearings!N6</f>
        <v>55</v>
      </c>
      <c r="AA36" s="1"/>
      <c r="AB36" s="1"/>
    </row>
    <row r="37" spans="7:29" ht="15.6">
      <c r="G37" s="7" t="s">
        <v>626</v>
      </c>
      <c r="H37" s="12">
        <v>1.5</v>
      </c>
      <c r="I37" s="1"/>
      <c r="J37" s="1"/>
      <c r="K37" s="31"/>
      <c r="L37" s="31"/>
      <c r="M37" s="31"/>
      <c r="N37" s="31"/>
      <c r="O37" s="31"/>
      <c r="P37" s="31"/>
      <c r="Q37" s="31"/>
      <c r="S37" s="7" t="s">
        <v>627</v>
      </c>
      <c r="T37" s="5" t="s">
        <v>41</v>
      </c>
      <c r="U37" s="14">
        <f>Bearings!I7</f>
        <v>7</v>
      </c>
      <c r="V37" s="14">
        <f>Bearings!J7</f>
        <v>5</v>
      </c>
      <c r="W37" s="14">
        <f>Bearings!K7</f>
        <v>13</v>
      </c>
      <c r="X37" s="14">
        <f>Bearings!L7</f>
        <v>7</v>
      </c>
      <c r="Y37" s="14">
        <f>Bearings!M7</f>
        <v>10</v>
      </c>
      <c r="Z37" s="14">
        <f>Bearings!N7</f>
        <v>10</v>
      </c>
    </row>
    <row r="38" spans="7:29">
      <c r="G38" s="7" t="s">
        <v>111</v>
      </c>
      <c r="H38" s="32" t="s">
        <v>628</v>
      </c>
      <c r="I38" s="31"/>
      <c r="J38" s="31"/>
      <c r="K38" s="31"/>
      <c r="L38" s="31"/>
      <c r="M38" s="31"/>
      <c r="N38" s="31"/>
      <c r="O38" s="31"/>
      <c r="P38" s="31"/>
      <c r="Q38" s="31"/>
      <c r="S38" s="7" t="s">
        <v>528</v>
      </c>
      <c r="T38" s="5" t="s">
        <v>629</v>
      </c>
      <c r="U38" s="14" t="str">
        <f>Bearings!I8</f>
        <v xml:space="preserve">61804 </v>
      </c>
      <c r="V38" s="14" t="str">
        <f>Bearings!J8</f>
        <v xml:space="preserve">61802 </v>
      </c>
      <c r="W38" s="14" t="str">
        <f>Bearings!K8</f>
        <v>* 16014</v>
      </c>
      <c r="X38" s="14" t="str">
        <f>Bearings!L8</f>
        <v xml:space="preserve">61809 </v>
      </c>
      <c r="Y38" s="14" t="str">
        <f>Bearings!M8</f>
        <v xml:space="preserve">61907 </v>
      </c>
      <c r="Z38" s="14" t="str">
        <f>Bearings!N8</f>
        <v xml:space="preserve">61907 </v>
      </c>
    </row>
    <row r="39" spans="7:29">
      <c r="G39" s="7" t="s">
        <v>630</v>
      </c>
      <c r="H39" s="32" t="s">
        <v>631</v>
      </c>
      <c r="I39" s="27"/>
      <c r="J39" s="27"/>
      <c r="K39" s="27"/>
      <c r="L39" s="27"/>
      <c r="M39" s="27"/>
      <c r="N39" s="27"/>
      <c r="O39" s="27"/>
      <c r="P39" s="27"/>
      <c r="Q39" s="27"/>
    </row>
    <row r="40" spans="7:29">
      <c r="G40" s="7" t="s">
        <v>616</v>
      </c>
      <c r="H40" s="32" t="s">
        <v>632</v>
      </c>
      <c r="I40" s="27"/>
      <c r="J40" s="27"/>
      <c r="K40" s="27"/>
      <c r="L40" s="27"/>
      <c r="M40" s="27"/>
      <c r="N40" s="27"/>
      <c r="O40" s="27"/>
      <c r="P40" s="27"/>
      <c r="Q40" s="27"/>
    </row>
    <row r="41" spans="7:29">
      <c r="G41" s="15" t="s">
        <v>633</v>
      </c>
    </row>
    <row r="42" spans="7:29">
      <c r="H42" s="33" t="s">
        <v>592</v>
      </c>
      <c r="I42" t="s">
        <v>617</v>
      </c>
      <c r="J42" t="s">
        <v>618</v>
      </c>
      <c r="K42" t="s">
        <v>619</v>
      </c>
      <c r="L42" t="s">
        <v>620</v>
      </c>
      <c r="M42" t="s">
        <v>634</v>
      </c>
    </row>
    <row r="43" spans="7:29">
      <c r="G43" s="7" t="s">
        <v>621</v>
      </c>
      <c r="H43" s="5" t="s">
        <v>23</v>
      </c>
      <c r="I43" s="10">
        <f>Loads!C28</f>
        <v>0.94499999999999995</v>
      </c>
      <c r="J43" s="10">
        <v>0.5</v>
      </c>
      <c r="K43" s="10">
        <v>1.375</v>
      </c>
      <c r="L43" s="10">
        <v>1</v>
      </c>
      <c r="M43" s="10">
        <v>0.35499999999999998</v>
      </c>
      <c r="N43" s="1"/>
      <c r="O43" s="1"/>
      <c r="P43" s="1"/>
      <c r="Q43" s="1"/>
    </row>
    <row r="44" spans="7:29">
      <c r="G44" s="7" t="s">
        <v>22</v>
      </c>
      <c r="H44" s="5" t="s">
        <v>23</v>
      </c>
      <c r="I44" s="12">
        <f>Shafts!E46</f>
        <v>1.3886595575039846</v>
      </c>
      <c r="J44" s="12">
        <f>Shafts!F46</f>
        <v>1.8113415891882847</v>
      </c>
      <c r="K44" s="12">
        <f>Shafts!F46</f>
        <v>1.8113415891882847</v>
      </c>
      <c r="L44" s="12">
        <f>Shafts!G46</f>
        <v>2.225486148507045</v>
      </c>
      <c r="M44" s="12">
        <f>Shafts!H46</f>
        <v>1.2919255597115107</v>
      </c>
      <c r="N44" s="1"/>
      <c r="O44" s="1"/>
      <c r="P44" s="1"/>
      <c r="Q44" s="1"/>
      <c r="R44" s="29"/>
    </row>
    <row r="45" spans="7:29"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29"/>
    </row>
    <row r="46" spans="7:29"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29"/>
    </row>
    <row r="47" spans="7:29"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</row>
    <row r="48" spans="7:29"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</row>
    <row r="49" spans="7:18" ht="15.6">
      <c r="G49" s="33" t="s">
        <v>626</v>
      </c>
      <c r="H49" s="268">
        <v>1.5</v>
      </c>
      <c r="K49" s="31"/>
      <c r="L49" s="31"/>
      <c r="M49" s="31"/>
      <c r="N49" s="31"/>
      <c r="O49" s="31"/>
      <c r="P49" s="31"/>
      <c r="Q49" s="31"/>
    </row>
    <row r="50" spans="7:18">
      <c r="G50" s="33" t="s">
        <v>111</v>
      </c>
      <c r="H50" s="32" t="s">
        <v>635</v>
      </c>
      <c r="I50" s="31"/>
      <c r="J50" s="31"/>
      <c r="K50" s="31"/>
      <c r="L50" s="31"/>
      <c r="M50" s="31"/>
      <c r="N50" s="31"/>
      <c r="O50" s="31"/>
      <c r="P50" s="31"/>
      <c r="Q50" s="31"/>
    </row>
    <row r="51" spans="7:18">
      <c r="G51" s="7" t="s">
        <v>630</v>
      </c>
      <c r="H51" s="10" t="s">
        <v>631</v>
      </c>
      <c r="I51" s="27"/>
      <c r="J51" s="27"/>
      <c r="K51" s="27"/>
      <c r="L51" s="27"/>
      <c r="M51" s="27"/>
      <c r="N51" s="27"/>
      <c r="O51" s="27"/>
      <c r="P51" s="27"/>
      <c r="Q51" s="27"/>
    </row>
    <row r="52" spans="7:18">
      <c r="G52" s="7" t="s">
        <v>616</v>
      </c>
      <c r="H52" s="32" t="s">
        <v>636</v>
      </c>
      <c r="I52" s="27"/>
      <c r="J52" s="27"/>
      <c r="K52" s="27"/>
      <c r="L52" s="27"/>
      <c r="M52" s="27"/>
      <c r="N52" s="27"/>
      <c r="O52" s="27"/>
      <c r="P52" s="27"/>
      <c r="Q52" s="27"/>
    </row>
    <row r="53" spans="7:18">
      <c r="G53" s="15" t="s">
        <v>290</v>
      </c>
    </row>
    <row r="54" spans="7:18">
      <c r="H54" s="33" t="s">
        <v>592</v>
      </c>
      <c r="I54" t="s">
        <v>617</v>
      </c>
      <c r="J54" t="s">
        <v>618</v>
      </c>
      <c r="K54" t="s">
        <v>619</v>
      </c>
      <c r="L54" t="s">
        <v>620</v>
      </c>
    </row>
    <row r="55" spans="7:18">
      <c r="G55" s="7" t="s">
        <v>621</v>
      </c>
      <c r="H55" s="33" t="s">
        <v>23</v>
      </c>
      <c r="I55" s="32">
        <f>Loads!C19</f>
        <v>0.19700000000000001</v>
      </c>
      <c r="J55" s="32">
        <v>0.5</v>
      </c>
      <c r="K55" s="32">
        <v>0.5</v>
      </c>
      <c r="L55" s="32">
        <v>0.19700000000000001</v>
      </c>
      <c r="R55" s="29"/>
    </row>
    <row r="56" spans="7:18">
      <c r="G56" s="7" t="s">
        <v>22</v>
      </c>
      <c r="H56" s="33" t="s">
        <v>23</v>
      </c>
      <c r="I56" s="268">
        <f>Shafts!B46</f>
        <v>0.7</v>
      </c>
      <c r="J56" s="268">
        <f>Shafts!C46</f>
        <v>0.86</v>
      </c>
      <c r="K56" s="268">
        <f>Shafts!C46</f>
        <v>0.86</v>
      </c>
      <c r="L56" s="268">
        <f>Shafts!D46</f>
        <v>0.29400409089950397</v>
      </c>
      <c r="R56" s="29"/>
    </row>
    <row r="57" spans="7:18"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29"/>
    </row>
    <row r="58" spans="7:18"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</row>
    <row r="59" spans="7:18"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</row>
    <row r="60" spans="7:18"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</row>
    <row r="61" spans="7:18" ht="15.6">
      <c r="G61" s="33" t="s">
        <v>626</v>
      </c>
      <c r="H61" s="268">
        <f>MIN(Shafts!B53:D53)</f>
        <v>1.5380948001123653</v>
      </c>
      <c r="K61" s="31"/>
      <c r="L61" s="31"/>
      <c r="M61" s="31"/>
      <c r="N61" s="31"/>
      <c r="O61" s="31"/>
      <c r="P61" s="31"/>
      <c r="Q61" s="31"/>
    </row>
    <row r="62" spans="7:18">
      <c r="G62" s="33" t="s">
        <v>111</v>
      </c>
      <c r="H62" s="32" t="s">
        <v>637</v>
      </c>
      <c r="I62" s="31"/>
      <c r="J62" s="31"/>
      <c r="K62" s="31"/>
      <c r="L62" s="31"/>
      <c r="M62" s="31"/>
      <c r="N62" s="31"/>
      <c r="O62" s="31"/>
      <c r="P62" s="31"/>
      <c r="Q62" s="31"/>
    </row>
    <row r="63" spans="7:18">
      <c r="G63" s="33" t="s">
        <v>630</v>
      </c>
      <c r="H63" s="32" t="s">
        <v>638</v>
      </c>
      <c r="I63" s="27"/>
      <c r="J63" s="27"/>
      <c r="K63" s="27"/>
      <c r="L63" s="27"/>
      <c r="M63" s="27"/>
      <c r="N63" s="27"/>
      <c r="O63" s="27"/>
      <c r="P63" s="27"/>
      <c r="Q63" s="27"/>
    </row>
    <row r="64" spans="7:18">
      <c r="G64" s="33" t="s">
        <v>616</v>
      </c>
      <c r="H64" s="32" t="s">
        <v>636</v>
      </c>
      <c r="I64" s="27"/>
      <c r="J64" s="27"/>
      <c r="K64" s="27"/>
      <c r="L64" s="27"/>
      <c r="M64" s="27"/>
      <c r="N64" s="27"/>
      <c r="O64" s="27"/>
      <c r="P64" s="27"/>
      <c r="Q64" s="27"/>
    </row>
    <row r="65" spans="8:9">
      <c r="H65" s="1"/>
      <c r="I65" s="1"/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B88D0C-8A26-4717-A62D-CC327E0446F9}">
  <sheetPr codeName="Sheet9"/>
  <dimension ref="A1"/>
  <sheetViews>
    <sheetView zoomScale="54" workbookViewId="0"/>
  </sheetViews>
  <sheetFormatPr defaultRowHeight="14.45"/>
  <sheetData/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DAED7C-C749-4E41-9195-76E631C3C156}">
  <sheetPr codeName="Sheet8"/>
  <dimension ref="A1"/>
  <sheetViews>
    <sheetView workbookViewId="0">
      <selection activeCell="T33" sqref="T33"/>
    </sheetView>
  </sheetViews>
  <sheetFormatPr defaultRowHeight="14.45"/>
  <sheetData/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3299BB-DA5A-40F4-A645-17764D8C8763}">
  <sheetPr codeName="Sheet10"/>
  <dimension ref="A1:BH309"/>
  <sheetViews>
    <sheetView topLeftCell="A27" zoomScale="52" zoomScaleNormal="85" workbookViewId="0">
      <selection activeCell="Y18" sqref="Y18"/>
    </sheetView>
  </sheetViews>
  <sheetFormatPr defaultRowHeight="14.45"/>
  <cols>
    <col min="1" max="1" width="10.5703125" style="1" customWidth="1"/>
    <col min="2" max="2" width="38.5703125" customWidth="1"/>
    <col min="3" max="3" width="13" style="1" customWidth="1"/>
    <col min="4" max="4" width="15" style="1" customWidth="1"/>
    <col min="5" max="5" width="12.140625" style="1" customWidth="1"/>
    <col min="6" max="6" width="11.5703125" style="1" customWidth="1"/>
    <col min="7" max="7" width="11.42578125" style="1" customWidth="1"/>
    <col min="8" max="8" width="12.42578125" style="1" customWidth="1"/>
    <col min="9" max="9" width="26.42578125" style="1" customWidth="1"/>
    <col min="10" max="10" width="20.42578125" style="1" customWidth="1"/>
    <col min="11" max="11" width="9.42578125" style="1"/>
    <col min="12" max="12" width="15.5703125" style="1" customWidth="1"/>
    <col min="13" max="22" width="9.42578125" style="1"/>
    <col min="23" max="23" width="2.5703125" style="1" customWidth="1"/>
    <col min="24" max="24" width="4.5703125" customWidth="1"/>
    <col min="25" max="25" width="37.42578125" bestFit="1" customWidth="1"/>
    <col min="26" max="31" width="8.85546875" bestFit="1" customWidth="1"/>
    <col min="32" max="32" width="18" customWidth="1"/>
    <col min="33" max="33" width="13.5703125" customWidth="1"/>
    <col min="34" max="34" width="11" customWidth="1"/>
    <col min="35" max="35" width="18" customWidth="1"/>
    <col min="36" max="36" width="11" customWidth="1"/>
    <col min="37" max="40" width="8.85546875" bestFit="1" customWidth="1"/>
    <col min="41" max="42" width="10" customWidth="1"/>
    <col min="43" max="43" width="8.85546875" bestFit="1" customWidth="1"/>
    <col min="44" max="44" width="9" customWidth="1"/>
    <col min="45" max="45" width="9.42578125" customWidth="1"/>
    <col min="46" max="46" width="11.5703125" customWidth="1"/>
    <col min="47" max="47" width="10.5703125" customWidth="1"/>
    <col min="48" max="48" width="9" customWidth="1"/>
    <col min="49" max="49" width="9.42578125" customWidth="1"/>
    <col min="50" max="50" width="8.85546875" bestFit="1" customWidth="1"/>
  </cols>
  <sheetData>
    <row r="1" spans="1:60">
      <c r="A1" s="1" t="s">
        <v>265</v>
      </c>
      <c r="AT1" t="s">
        <v>22</v>
      </c>
    </row>
    <row r="2" spans="1:60" ht="18">
      <c r="B2" s="36" t="s">
        <v>639</v>
      </c>
      <c r="Y2" s="36" t="s">
        <v>640</v>
      </c>
      <c r="Z2" s="1"/>
      <c r="AA2" s="1"/>
      <c r="AB2" s="1"/>
      <c r="AC2" s="1"/>
      <c r="AD2" s="1"/>
    </row>
    <row r="3" spans="1:60">
      <c r="B3" t="s">
        <v>641</v>
      </c>
      <c r="Y3" t="s">
        <v>641</v>
      </c>
      <c r="Z3" s="1"/>
      <c r="AA3" s="1"/>
      <c r="AB3" s="1"/>
      <c r="AC3" s="1"/>
      <c r="AD3" s="1"/>
    </row>
    <row r="4" spans="1:60">
      <c r="Z4" s="1"/>
      <c r="AA4" s="1"/>
      <c r="AB4" s="1"/>
      <c r="AC4" s="1"/>
      <c r="AD4" s="1"/>
    </row>
    <row r="5" spans="1:60">
      <c r="B5" s="6" t="s">
        <v>642</v>
      </c>
      <c r="Y5" s="6" t="s">
        <v>642</v>
      </c>
      <c r="Z5" s="1"/>
      <c r="AA5" s="1"/>
      <c r="AB5" s="1"/>
      <c r="AC5" s="1"/>
      <c r="AD5" s="1"/>
    </row>
    <row r="6" spans="1:60">
      <c r="B6" t="s">
        <v>643</v>
      </c>
      <c r="C6" s="1" t="s">
        <v>644</v>
      </c>
      <c r="D6" s="1" t="s">
        <v>645</v>
      </c>
      <c r="E6" s="1" t="s">
        <v>509</v>
      </c>
      <c r="F6" s="1" t="s">
        <v>646</v>
      </c>
      <c r="G6" s="1" t="s">
        <v>647</v>
      </c>
      <c r="Y6" t="s">
        <v>643</v>
      </c>
      <c r="Z6" s="1" t="s">
        <v>644</v>
      </c>
      <c r="AA6" s="1" t="s">
        <v>645</v>
      </c>
      <c r="AB6" s="1" t="s">
        <v>509</v>
      </c>
      <c r="AC6" s="1" t="s">
        <v>646</v>
      </c>
      <c r="AD6" s="1" t="s">
        <v>647</v>
      </c>
    </row>
    <row r="7" spans="1:60">
      <c r="A7" s="1">
        <v>0</v>
      </c>
      <c r="C7" s="1" t="e">
        <f>VLOOKUP(A7,$A$15:$V$261,3)</f>
        <v>#N/A</v>
      </c>
      <c r="D7" s="1" t="e">
        <f>VLOOKUP(A7,$A$15:$V$261,4)</f>
        <v>#N/A</v>
      </c>
      <c r="E7" s="1" t="e">
        <f>VLOOKUP(A7,$A$15:$V$261,6)</f>
        <v>#N/A</v>
      </c>
      <c r="F7" s="1" t="e">
        <f>VLOOKUP(A7,$A$15:$V$261,7)</f>
        <v>#N/A</v>
      </c>
      <c r="G7" s="1" t="e">
        <f>VLOOKUP(A7,$A$15:$V$261,12)</f>
        <v>#N/A</v>
      </c>
      <c r="X7">
        <v>8</v>
      </c>
      <c r="Z7" s="1" t="e">
        <f>VLOOKUP(X7,$X$15:$AX$153,3)</f>
        <v>#N/A</v>
      </c>
      <c r="AA7" s="1" t="e">
        <f>VLOOKUP(X7,$X$15:$AX$153,4)</f>
        <v>#N/A</v>
      </c>
      <c r="AB7" s="1" t="e">
        <f>VLOOKUP(X7,$X$15:$AX$153,6)</f>
        <v>#N/A</v>
      </c>
      <c r="AC7" s="1" t="e">
        <f>VLOOKUP(X7,$X$15:$AX$153,7)</f>
        <v>#N/A</v>
      </c>
      <c r="AD7" s="11" t="e">
        <f>VLOOKUP(X7,$X$15:$AX$153,12)</f>
        <v>#N/A</v>
      </c>
    </row>
    <row r="8" spans="1:60">
      <c r="Z8" s="1"/>
      <c r="AA8" s="1"/>
      <c r="AB8" s="1"/>
      <c r="AC8" s="1"/>
      <c r="AD8" s="1"/>
    </row>
    <row r="9" spans="1:60">
      <c r="B9" t="s">
        <v>648</v>
      </c>
      <c r="C9" s="37">
        <v>5</v>
      </c>
      <c r="D9" s="37">
        <v>11</v>
      </c>
      <c r="E9" s="1">
        <f t="array" ref="E9">INDEX(F14:F260,MATCH($C$9&amp;$D$9,$C$14:$C$260&amp;$D$14:$D$260,0))</f>
        <v>0.46800000000000003</v>
      </c>
      <c r="F9" s="1">
        <f t="array" ref="F9">INDEX(G14:G260,MATCH($C$9&amp;$D$9,$C$14:$C$260&amp;$D$14:$D$260,0))</f>
        <v>0.14299999999999999</v>
      </c>
      <c r="G9" s="1" t="str">
        <f t="array" ref="G9">INDEX(L14:L260,MATCH($C$9&amp;$D$9,$C$14:$C$260&amp;$D$14:$D$260,0))</f>
        <v xml:space="preserve">618/5 </v>
      </c>
      <c r="Y9" t="s">
        <v>648</v>
      </c>
      <c r="Z9" s="37">
        <v>17</v>
      </c>
      <c r="AA9" s="37">
        <v>40</v>
      </c>
      <c r="AB9" s="1" t="e">
        <f t="array" ref="AB9">INDEX(#REF!,MATCH($Z$9&amp;$AA$9,$Z$14:$Z$99&amp;$AA$14:$AA$99,0))</f>
        <v>#REF!</v>
      </c>
      <c r="AC9" s="1" t="e">
        <f t="array" ref="AC9">INDEX(#REF!,MATCH($Z$9&amp;$AA$9,$Z$14:$Z$99&amp;$AA$14:$AA$99,0))</f>
        <v>#REF!</v>
      </c>
      <c r="AD9" s="11" t="e">
        <f t="array" ref="AD9">INDEX(#REF!,MATCH($Z$9&amp;$AA$9,$Z$14:$Z$99&amp;$AA$14:$AA$99,0))</f>
        <v>#REF!</v>
      </c>
    </row>
    <row r="10" spans="1:60">
      <c r="B10" t="s">
        <v>649</v>
      </c>
      <c r="Y10" t="s">
        <v>649</v>
      </c>
      <c r="Z10" s="1"/>
      <c r="AA10" s="1"/>
      <c r="AB10" s="1"/>
      <c r="AC10" s="1"/>
      <c r="AD10" s="1"/>
    </row>
    <row r="11" spans="1:60">
      <c r="BC11" s="297" t="s">
        <v>650</v>
      </c>
      <c r="BD11" s="297"/>
      <c r="BE11" s="297"/>
      <c r="BF11" s="297"/>
      <c r="BG11" s="297"/>
      <c r="BH11" s="297"/>
    </row>
    <row r="12" spans="1:60" s="39" customFormat="1" ht="72">
      <c r="A12" s="38"/>
      <c r="C12" s="305" t="s">
        <v>651</v>
      </c>
      <c r="D12" s="305"/>
      <c r="E12" s="305"/>
      <c r="F12" s="305" t="s">
        <v>652</v>
      </c>
      <c r="G12" s="305"/>
      <c r="H12" s="38" t="s">
        <v>653</v>
      </c>
      <c r="I12" s="305" t="s">
        <v>654</v>
      </c>
      <c r="J12" s="305"/>
      <c r="K12" s="38" t="s">
        <v>655</v>
      </c>
      <c r="L12" s="38" t="s">
        <v>647</v>
      </c>
      <c r="M12" s="305" t="s">
        <v>656</v>
      </c>
      <c r="N12" s="305"/>
      <c r="O12" s="305"/>
      <c r="P12" s="305"/>
      <c r="Q12" s="305"/>
      <c r="R12" s="306" t="s">
        <v>657</v>
      </c>
      <c r="S12" s="306"/>
      <c r="T12" s="306"/>
      <c r="U12" s="305" t="s">
        <v>658</v>
      </c>
      <c r="V12" s="305"/>
      <c r="W12" s="38"/>
      <c r="Z12" s="305" t="s">
        <v>651</v>
      </c>
      <c r="AA12" s="305"/>
      <c r="AB12" s="305"/>
      <c r="AC12" s="305" t="s">
        <v>652</v>
      </c>
      <c r="AD12" s="305"/>
      <c r="AE12" s="38" t="s">
        <v>653</v>
      </c>
      <c r="AF12" s="305" t="s">
        <v>654</v>
      </c>
      <c r="AG12" s="305"/>
      <c r="AH12" s="38" t="s">
        <v>655</v>
      </c>
      <c r="AI12" s="38" t="s">
        <v>647</v>
      </c>
      <c r="AK12" s="38" t="s">
        <v>656</v>
      </c>
      <c r="AL12" s="38"/>
      <c r="AM12" s="38"/>
      <c r="AN12" s="38"/>
      <c r="AO12" s="38"/>
      <c r="AP12" s="38"/>
      <c r="AQ12" s="38"/>
      <c r="AR12" s="40" t="s">
        <v>657</v>
      </c>
      <c r="AS12" s="40"/>
      <c r="AT12" s="40"/>
      <c r="AU12" s="40"/>
      <c r="AV12" s="40"/>
      <c r="AW12" s="40"/>
      <c r="AX12" s="38" t="s">
        <v>658</v>
      </c>
      <c r="AY12" s="38"/>
      <c r="BC12" s="304"/>
      <c r="BD12" s="304"/>
      <c r="BE12" s="304" t="s">
        <v>659</v>
      </c>
      <c r="BF12" s="304"/>
      <c r="BG12" s="304" t="s">
        <v>660</v>
      </c>
      <c r="BH12" s="304"/>
    </row>
    <row r="13" spans="1:60" s="39" customFormat="1">
      <c r="A13" s="38" t="s">
        <v>661</v>
      </c>
      <c r="B13" s="39" t="s">
        <v>662</v>
      </c>
      <c r="C13" s="38" t="s">
        <v>663</v>
      </c>
      <c r="D13" s="38" t="s">
        <v>664</v>
      </c>
      <c r="E13" s="38" t="s">
        <v>665</v>
      </c>
      <c r="F13" s="38" t="s">
        <v>666</v>
      </c>
      <c r="G13" s="38" t="s">
        <v>569</v>
      </c>
      <c r="H13" s="38" t="s">
        <v>667</v>
      </c>
      <c r="I13" s="38" t="s">
        <v>668</v>
      </c>
      <c r="J13" s="38" t="s">
        <v>669</v>
      </c>
      <c r="K13" s="38" t="s">
        <v>670</v>
      </c>
      <c r="L13" s="38" t="s">
        <v>671</v>
      </c>
      <c r="M13" s="38" t="s">
        <v>22</v>
      </c>
      <c r="N13" s="38" t="s">
        <v>672</v>
      </c>
      <c r="O13" s="38" t="s">
        <v>673</v>
      </c>
      <c r="P13" s="38" t="s">
        <v>674</v>
      </c>
      <c r="Q13" s="38" t="s">
        <v>675</v>
      </c>
      <c r="R13" s="38" t="s">
        <v>676</v>
      </c>
      <c r="S13" s="38" t="s">
        <v>677</v>
      </c>
      <c r="T13" s="38" t="s">
        <v>678</v>
      </c>
      <c r="U13" s="38" t="s">
        <v>679</v>
      </c>
      <c r="V13" s="38" t="s">
        <v>680</v>
      </c>
      <c r="W13" s="38"/>
      <c r="Y13" s="39" t="s">
        <v>661</v>
      </c>
      <c r="Z13" s="38" t="s">
        <v>22</v>
      </c>
      <c r="AA13" s="38" t="s">
        <v>674</v>
      </c>
      <c r="AB13" s="38" t="s">
        <v>206</v>
      </c>
      <c r="AC13" s="38" t="s">
        <v>509</v>
      </c>
      <c r="AD13" s="38" t="s">
        <v>646</v>
      </c>
      <c r="AE13" s="38" t="s">
        <v>681</v>
      </c>
      <c r="AF13" s="38" t="s">
        <v>682</v>
      </c>
      <c r="AG13" s="38" t="s">
        <v>683</v>
      </c>
      <c r="AH13" s="38" t="s">
        <v>684</v>
      </c>
      <c r="AI13" s="38" t="s">
        <v>685</v>
      </c>
      <c r="AJ13" s="38" t="s">
        <v>686</v>
      </c>
      <c r="AK13" s="38" t="s">
        <v>687</v>
      </c>
      <c r="AL13" s="38" t="s">
        <v>672</v>
      </c>
      <c r="AM13" s="38" t="s">
        <v>688</v>
      </c>
      <c r="AN13" s="38" t="s">
        <v>689</v>
      </c>
      <c r="AO13" s="38" t="s">
        <v>675</v>
      </c>
      <c r="AP13" s="38" t="s">
        <v>690</v>
      </c>
      <c r="AQ13" s="38" t="s">
        <v>691</v>
      </c>
      <c r="AR13" s="38" t="s">
        <v>676</v>
      </c>
      <c r="AS13" s="38" t="s">
        <v>692</v>
      </c>
      <c r="AT13" s="38" t="s">
        <v>693</v>
      </c>
      <c r="AU13" s="38" t="s">
        <v>694</v>
      </c>
      <c r="AV13" s="38" t="s">
        <v>678</v>
      </c>
      <c r="AW13" s="38" t="s">
        <v>695</v>
      </c>
      <c r="AX13" s="38" t="s">
        <v>679</v>
      </c>
      <c r="BC13" s="140" t="s">
        <v>571</v>
      </c>
      <c r="BD13" s="140" t="s">
        <v>696</v>
      </c>
      <c r="BE13" s="140" t="s">
        <v>697</v>
      </c>
      <c r="BF13" s="140" t="s">
        <v>698</v>
      </c>
      <c r="BG13" s="140" t="s">
        <v>699</v>
      </c>
      <c r="BH13" s="140" t="s">
        <v>700</v>
      </c>
    </row>
    <row r="14" spans="1:60" s="39" customFormat="1">
      <c r="A14" s="1"/>
      <c r="B14" t="str">
        <f t="shared" ref="B14:B77" si="0">CONCATENATE("ID/OD(mm): ",C14,"/",D14,", C/C0(kN): ",F14,"/",G14)</f>
        <v>ID/OD(mm): 4/9, C/C0(kN): 0.423/0.116</v>
      </c>
      <c r="C14" s="101">
        <v>4</v>
      </c>
      <c r="D14" s="101">
        <v>9</v>
      </c>
      <c r="E14" s="101">
        <v>2.5</v>
      </c>
      <c r="F14" s="93">
        <v>0.42299999999999999</v>
      </c>
      <c r="G14" s="101">
        <v>0.11600000000000001</v>
      </c>
      <c r="H14" s="101">
        <v>5.0000000000000001E-3</v>
      </c>
      <c r="I14" s="101">
        <v>140000</v>
      </c>
      <c r="J14" s="101">
        <v>85000</v>
      </c>
      <c r="K14" s="1">
        <v>6.9999999999999999E-4</v>
      </c>
      <c r="L14" s="1" t="s">
        <v>701</v>
      </c>
      <c r="M14" s="1">
        <v>3</v>
      </c>
      <c r="N14" s="1">
        <v>5.2</v>
      </c>
      <c r="O14" s="1">
        <v>7.5</v>
      </c>
      <c r="P14" s="1">
        <v>8.1999999999999993</v>
      </c>
      <c r="Q14" s="1">
        <v>0.15</v>
      </c>
      <c r="R14" s="1">
        <v>4.2</v>
      </c>
      <c r="S14" s="1">
        <v>8.8000000000000007</v>
      </c>
      <c r="T14" s="1">
        <v>0.1</v>
      </c>
      <c r="U14" s="1">
        <v>2.5000000000000001E-2</v>
      </c>
      <c r="V14" s="1">
        <v>7.5</v>
      </c>
      <c r="W14" s="38"/>
      <c r="Y14" t="s">
        <v>702</v>
      </c>
      <c r="Z14" s="1">
        <v>15</v>
      </c>
      <c r="AA14" s="1">
        <v>35</v>
      </c>
      <c r="AB14" s="1">
        <v>11</v>
      </c>
      <c r="AC14" s="1">
        <v>12.5</v>
      </c>
      <c r="AD14" s="1">
        <v>10.199999999999999</v>
      </c>
      <c r="AE14" s="1">
        <v>1.22</v>
      </c>
      <c r="AF14" s="1">
        <v>22000</v>
      </c>
      <c r="AG14" s="1">
        <v>26000</v>
      </c>
      <c r="AH14" s="1">
        <v>4.7E-2</v>
      </c>
      <c r="AI14" s="1" t="s">
        <v>703</v>
      </c>
      <c r="AJ14" s="1"/>
      <c r="AK14" s="1">
        <v>15</v>
      </c>
      <c r="AL14" s="1" t="s">
        <v>704</v>
      </c>
      <c r="AM14" s="1">
        <v>27.9</v>
      </c>
      <c r="AN14" s="1">
        <v>19.3</v>
      </c>
      <c r="AO14" s="1">
        <v>0.6</v>
      </c>
      <c r="AP14" s="1">
        <v>0.3</v>
      </c>
      <c r="AQ14" s="1">
        <v>1</v>
      </c>
      <c r="AR14" s="1">
        <v>17.399999999999999</v>
      </c>
      <c r="AS14" s="1">
        <v>18.399999999999999</v>
      </c>
      <c r="AT14" s="1">
        <v>21</v>
      </c>
      <c r="AU14" s="1">
        <v>31.3</v>
      </c>
      <c r="AV14" s="1">
        <v>0.6</v>
      </c>
      <c r="AW14" s="1">
        <v>0.3</v>
      </c>
      <c r="AX14" s="1">
        <v>0.15</v>
      </c>
      <c r="BC14" s="105">
        <v>1.4E-2</v>
      </c>
      <c r="BD14" s="106">
        <v>0.19</v>
      </c>
      <c r="BE14" s="106">
        <v>1</v>
      </c>
      <c r="BF14" s="106">
        <v>0</v>
      </c>
      <c r="BG14" s="106">
        <v>0.56000000000000005</v>
      </c>
      <c r="BH14" s="107">
        <v>2.2999999999999998</v>
      </c>
    </row>
    <row r="15" spans="1:60">
      <c r="B15" t="str">
        <f t="shared" si="0"/>
        <v>ID/OD(mm): 5/11, C/C0(kN): 0.468/0.143</v>
      </c>
      <c r="C15" s="101">
        <v>5</v>
      </c>
      <c r="D15" s="101">
        <v>11</v>
      </c>
      <c r="E15" s="101">
        <v>3</v>
      </c>
      <c r="F15" s="93">
        <v>0.46800000000000003</v>
      </c>
      <c r="G15" s="101">
        <v>0.14299999999999999</v>
      </c>
      <c r="H15" s="101">
        <v>6.0000000000000001E-3</v>
      </c>
      <c r="I15" s="101">
        <v>120000</v>
      </c>
      <c r="J15" s="101">
        <v>75000</v>
      </c>
      <c r="K15" s="1">
        <v>1.1999999999999999E-3</v>
      </c>
      <c r="L15" s="1" t="s">
        <v>705</v>
      </c>
      <c r="N15" s="1">
        <v>8.4</v>
      </c>
      <c r="O15" s="1">
        <v>12</v>
      </c>
      <c r="P15" s="1">
        <v>13.3</v>
      </c>
      <c r="Q15" s="1">
        <v>0.3</v>
      </c>
      <c r="R15" s="1">
        <v>6.4</v>
      </c>
      <c r="S15" s="1">
        <v>13.6</v>
      </c>
      <c r="T15" s="1">
        <v>0.3</v>
      </c>
      <c r="U15" s="1">
        <v>0.03</v>
      </c>
      <c r="V15" s="1">
        <v>8.4</v>
      </c>
      <c r="Y15" t="s">
        <v>706</v>
      </c>
      <c r="Z15" s="1">
        <v>17</v>
      </c>
      <c r="AA15" s="1">
        <v>40</v>
      </c>
      <c r="AB15" s="1">
        <v>12</v>
      </c>
      <c r="AC15" s="1">
        <v>17.2</v>
      </c>
      <c r="AD15" s="1">
        <v>14.3</v>
      </c>
      <c r="AE15" s="1">
        <v>1.73</v>
      </c>
      <c r="AF15" s="1">
        <v>19000</v>
      </c>
      <c r="AG15" s="1">
        <v>22000</v>
      </c>
      <c r="AH15" s="1">
        <v>6.8000000000000005E-2</v>
      </c>
      <c r="AI15" s="1" t="s">
        <v>707</v>
      </c>
      <c r="AJ15" s="1"/>
      <c r="AK15" s="1">
        <v>17</v>
      </c>
      <c r="AL15" s="1" t="s">
        <v>704</v>
      </c>
      <c r="AM15" s="1">
        <v>32.4</v>
      </c>
      <c r="AN15" s="1">
        <v>22.1</v>
      </c>
      <c r="AO15" s="1">
        <v>0.6</v>
      </c>
      <c r="AP15" s="1">
        <v>0.3</v>
      </c>
      <c r="AQ15" s="1">
        <v>1</v>
      </c>
      <c r="AR15" s="1">
        <v>19.899999999999999</v>
      </c>
      <c r="AS15" s="1">
        <v>21.1</v>
      </c>
      <c r="AT15" s="1">
        <v>24</v>
      </c>
      <c r="AU15" s="1">
        <v>36</v>
      </c>
      <c r="AV15" s="1">
        <v>0.6</v>
      </c>
      <c r="AW15" s="1">
        <v>0.3</v>
      </c>
      <c r="AX15" s="1">
        <v>0.15</v>
      </c>
      <c r="BC15" s="35">
        <v>2.1000000000000001E-2</v>
      </c>
      <c r="BD15">
        <v>0.21</v>
      </c>
      <c r="BE15">
        <v>1</v>
      </c>
      <c r="BF15">
        <v>0</v>
      </c>
      <c r="BG15" s="108">
        <v>0.56000000000000005</v>
      </c>
      <c r="BH15" s="103">
        <v>2.15</v>
      </c>
    </row>
    <row r="16" spans="1:60">
      <c r="B16" t="str">
        <f t="shared" si="0"/>
        <v>ID/OD(mm): 3/10, C/C0(kN): 0.54/0.18</v>
      </c>
      <c r="C16" s="101">
        <v>3</v>
      </c>
      <c r="D16" s="101">
        <v>10</v>
      </c>
      <c r="E16" s="101">
        <v>4</v>
      </c>
      <c r="F16" s="93">
        <v>0.54</v>
      </c>
      <c r="G16" s="101">
        <v>0.18</v>
      </c>
      <c r="H16" s="101">
        <v>7.0000000000000001E-3</v>
      </c>
      <c r="I16" s="101">
        <v>130000</v>
      </c>
      <c r="J16" s="101">
        <v>80000</v>
      </c>
      <c r="K16" s="1">
        <v>1.5E-3</v>
      </c>
      <c r="L16" s="1" t="s">
        <v>708</v>
      </c>
      <c r="M16" s="61"/>
      <c r="N16" s="61"/>
      <c r="O16" s="61"/>
      <c r="P16" s="61"/>
      <c r="Q16" s="61"/>
      <c r="R16" s="61"/>
      <c r="S16" s="61"/>
      <c r="T16" s="61"/>
      <c r="U16" s="61"/>
      <c r="V16" s="61"/>
      <c r="Y16" t="s">
        <v>709</v>
      </c>
      <c r="Z16" s="1">
        <v>17</v>
      </c>
      <c r="AA16" s="1">
        <v>40</v>
      </c>
      <c r="AB16" s="1">
        <v>16</v>
      </c>
      <c r="AC16" s="1">
        <v>23.8</v>
      </c>
      <c r="AD16" s="1">
        <v>21.6</v>
      </c>
      <c r="AE16" s="1">
        <v>2.65</v>
      </c>
      <c r="AF16" s="1">
        <v>19000</v>
      </c>
      <c r="AG16" s="1">
        <v>22000</v>
      </c>
      <c r="AH16" s="1">
        <v>8.6999999999999994E-2</v>
      </c>
      <c r="AI16" s="1" t="s">
        <v>710</v>
      </c>
      <c r="AJ16" s="1"/>
      <c r="AK16" s="1"/>
      <c r="AL16" s="1" t="s">
        <v>704</v>
      </c>
      <c r="AM16" s="1">
        <v>32.4</v>
      </c>
      <c r="AN16" s="1">
        <v>22.1</v>
      </c>
      <c r="AO16" s="1">
        <v>0.6</v>
      </c>
      <c r="AP16" s="1">
        <v>0.3</v>
      </c>
      <c r="AQ16" s="1">
        <v>1.5</v>
      </c>
      <c r="AR16" s="1">
        <v>19.899999999999999</v>
      </c>
      <c r="AS16" s="1">
        <v>21.1</v>
      </c>
      <c r="AT16" s="1">
        <v>24</v>
      </c>
      <c r="AU16" s="1">
        <v>36</v>
      </c>
      <c r="AV16" s="1">
        <v>0.6</v>
      </c>
      <c r="AW16" s="1">
        <v>0.3</v>
      </c>
      <c r="AX16" s="1">
        <v>0.2</v>
      </c>
      <c r="BC16" s="35">
        <v>2.8000000000000001E-2</v>
      </c>
      <c r="BD16">
        <v>0.22</v>
      </c>
      <c r="BE16">
        <v>1</v>
      </c>
      <c r="BF16">
        <v>0</v>
      </c>
      <c r="BG16" s="108">
        <v>0.56000000000000005</v>
      </c>
      <c r="BH16" s="103">
        <v>1.99</v>
      </c>
    </row>
    <row r="17" spans="2:60">
      <c r="B17" t="str">
        <f t="shared" si="0"/>
        <v>ID/OD(mm): 4/11, C/C0(kN): 0.624/0.18</v>
      </c>
      <c r="C17" s="101">
        <v>4</v>
      </c>
      <c r="D17" s="101">
        <v>11</v>
      </c>
      <c r="E17" s="101">
        <v>4</v>
      </c>
      <c r="F17" s="93">
        <v>0.624</v>
      </c>
      <c r="G17" s="101">
        <v>0.18</v>
      </c>
      <c r="H17" s="101">
        <v>8.0000000000000002E-3</v>
      </c>
      <c r="I17" s="101">
        <v>130000</v>
      </c>
      <c r="J17" s="101">
        <v>80000</v>
      </c>
      <c r="K17" s="1">
        <v>1.6999999999999999E-3</v>
      </c>
      <c r="L17" s="1" t="s">
        <v>711</v>
      </c>
      <c r="M17" s="1">
        <v>4</v>
      </c>
      <c r="N17" s="1">
        <v>5.2</v>
      </c>
      <c r="O17" s="1">
        <v>7.5</v>
      </c>
      <c r="P17" s="1" t="s">
        <v>704</v>
      </c>
      <c r="Q17" s="1">
        <v>0.1</v>
      </c>
      <c r="R17" s="1">
        <v>4.5999999999999996</v>
      </c>
      <c r="S17" s="1">
        <v>8.4</v>
      </c>
      <c r="T17" s="1">
        <v>0.1</v>
      </c>
      <c r="U17" s="1">
        <v>1.4999999999999999E-2</v>
      </c>
      <c r="V17" s="1">
        <v>6.5</v>
      </c>
      <c r="Y17" t="s">
        <v>712</v>
      </c>
      <c r="Z17" s="1">
        <v>17</v>
      </c>
      <c r="AA17" s="1">
        <v>47</v>
      </c>
      <c r="AB17" s="1">
        <v>14</v>
      </c>
      <c r="AC17" s="1">
        <v>28.5</v>
      </c>
      <c r="AD17" s="1">
        <v>20.399999999999999</v>
      </c>
      <c r="AE17" s="1">
        <v>2.5499999999999998</v>
      </c>
      <c r="AF17" s="1">
        <v>15000</v>
      </c>
      <c r="AG17" s="1">
        <v>20000</v>
      </c>
      <c r="AH17" s="1">
        <v>0.12</v>
      </c>
      <c r="AI17" s="1" t="s">
        <v>713</v>
      </c>
      <c r="AJ17" s="1"/>
      <c r="AK17" s="1"/>
      <c r="AL17" s="1" t="s">
        <v>704</v>
      </c>
      <c r="AM17" s="1">
        <v>37</v>
      </c>
      <c r="AN17" s="1">
        <v>24.2</v>
      </c>
      <c r="AO17" s="1">
        <v>1</v>
      </c>
      <c r="AP17" s="1">
        <v>0.6</v>
      </c>
      <c r="AQ17" s="1">
        <v>1</v>
      </c>
      <c r="AR17" s="1">
        <v>21.1</v>
      </c>
      <c r="AS17" s="1">
        <v>23.1</v>
      </c>
      <c r="AT17" s="1">
        <v>26</v>
      </c>
      <c r="AU17" s="1">
        <v>41.7</v>
      </c>
      <c r="AV17" s="1">
        <v>1</v>
      </c>
      <c r="AW17" s="1">
        <v>0.6</v>
      </c>
      <c r="AX17" s="1">
        <v>0.15</v>
      </c>
      <c r="BC17" s="109">
        <v>4.2000000000000003E-2</v>
      </c>
      <c r="BD17" s="108">
        <v>0.24</v>
      </c>
      <c r="BE17">
        <v>1</v>
      </c>
      <c r="BF17">
        <v>0</v>
      </c>
      <c r="BG17" s="108">
        <v>0.56000000000000005</v>
      </c>
      <c r="BH17" s="110">
        <v>1.85</v>
      </c>
    </row>
    <row r="18" spans="2:60">
      <c r="B18" t="str">
        <f t="shared" si="0"/>
        <v>ID/OD(mm): 6/13, C/C0(kN): 0.715/0.224</v>
      </c>
      <c r="C18" s="101">
        <v>6</v>
      </c>
      <c r="D18" s="101">
        <v>13</v>
      </c>
      <c r="E18" s="101">
        <v>3.5</v>
      </c>
      <c r="F18" s="93">
        <v>0.71499999999999997</v>
      </c>
      <c r="G18" s="101">
        <v>0.224</v>
      </c>
      <c r="H18" s="101">
        <v>0.01</v>
      </c>
      <c r="I18" s="101">
        <v>110000</v>
      </c>
      <c r="J18" s="101">
        <v>67000</v>
      </c>
      <c r="K18" s="1">
        <v>2E-3</v>
      </c>
      <c r="L18" s="1" t="s">
        <v>714</v>
      </c>
      <c r="N18" s="1">
        <v>11.1</v>
      </c>
      <c r="O18" s="1">
        <v>15.2</v>
      </c>
      <c r="P18" s="1">
        <v>16.5</v>
      </c>
      <c r="Q18" s="1">
        <v>0.3</v>
      </c>
      <c r="R18" s="1">
        <v>7.4</v>
      </c>
      <c r="S18" s="1">
        <v>16.600000000000001</v>
      </c>
      <c r="T18" s="1">
        <v>0.3</v>
      </c>
      <c r="U18" s="1">
        <v>0.03</v>
      </c>
      <c r="V18" s="1">
        <v>13</v>
      </c>
      <c r="Y18" t="s">
        <v>715</v>
      </c>
      <c r="Z18" s="1">
        <v>20</v>
      </c>
      <c r="AA18" s="1">
        <v>47</v>
      </c>
      <c r="AB18" s="1">
        <v>14</v>
      </c>
      <c r="AC18" s="1">
        <v>28.5</v>
      </c>
      <c r="AD18" s="1">
        <v>22</v>
      </c>
      <c r="AE18" s="1">
        <v>2.75</v>
      </c>
      <c r="AF18" s="1">
        <v>16000</v>
      </c>
      <c r="AG18" s="1">
        <v>19000</v>
      </c>
      <c r="AH18" s="1">
        <v>0.11</v>
      </c>
      <c r="AI18" s="1" t="s">
        <v>716</v>
      </c>
      <c r="AJ18" s="1"/>
      <c r="AK18" s="1">
        <v>20</v>
      </c>
      <c r="AL18" s="1" t="s">
        <v>704</v>
      </c>
      <c r="AM18" s="1">
        <v>38.799999999999997</v>
      </c>
      <c r="AN18" s="1">
        <v>26.5</v>
      </c>
      <c r="AO18" s="1">
        <v>1</v>
      </c>
      <c r="AP18" s="1">
        <v>0.6</v>
      </c>
      <c r="AQ18" s="1">
        <v>1</v>
      </c>
      <c r="AR18" s="1">
        <v>24</v>
      </c>
      <c r="AS18" s="1">
        <v>25.4</v>
      </c>
      <c r="AT18" s="1">
        <v>28</v>
      </c>
      <c r="AU18" s="1">
        <v>41.7</v>
      </c>
      <c r="AV18" s="1">
        <v>1</v>
      </c>
      <c r="AW18" s="1">
        <v>0.6</v>
      </c>
      <c r="AX18" s="1">
        <v>0.15</v>
      </c>
      <c r="BC18" s="109">
        <v>5.6000000000000001E-2</v>
      </c>
      <c r="BD18" s="108">
        <v>0.26</v>
      </c>
      <c r="BE18">
        <v>1</v>
      </c>
      <c r="BF18">
        <v>0</v>
      </c>
      <c r="BG18" s="108">
        <v>0.56000000000000005</v>
      </c>
      <c r="BH18" s="110">
        <v>1.71</v>
      </c>
    </row>
    <row r="19" spans="2:60">
      <c r="B19" t="str">
        <f t="shared" si="0"/>
        <v>ID/OD(mm): 7/14, C/C0(kN): 0.78/0.26</v>
      </c>
      <c r="C19" s="101">
        <v>7</v>
      </c>
      <c r="D19" s="101">
        <v>14</v>
      </c>
      <c r="E19" s="101">
        <v>3.5</v>
      </c>
      <c r="F19" s="93">
        <v>0.78</v>
      </c>
      <c r="G19" s="101">
        <v>0.26</v>
      </c>
      <c r="H19" s="101">
        <v>1.0999999999999999E-2</v>
      </c>
      <c r="I19" s="101">
        <v>100000</v>
      </c>
      <c r="J19" s="101">
        <v>63000</v>
      </c>
      <c r="K19" s="1">
        <v>2.2000000000000001E-3</v>
      </c>
      <c r="L19" s="1" t="s">
        <v>717</v>
      </c>
      <c r="N19" s="1">
        <v>11.1</v>
      </c>
      <c r="O19" s="1">
        <v>15.2</v>
      </c>
      <c r="P19" s="1">
        <v>16.5</v>
      </c>
      <c r="Q19" s="1">
        <v>0.3</v>
      </c>
      <c r="R19" s="1">
        <v>8.4</v>
      </c>
      <c r="S19" s="1">
        <v>16.600000000000001</v>
      </c>
      <c r="T19" s="1">
        <v>0.3</v>
      </c>
      <c r="U19" s="1">
        <v>2.5000000000000001E-2</v>
      </c>
      <c r="V19" s="1">
        <v>13</v>
      </c>
      <c r="Y19" t="s">
        <v>718</v>
      </c>
      <c r="Z19" s="1">
        <v>20</v>
      </c>
      <c r="AA19" s="1">
        <v>47</v>
      </c>
      <c r="AB19" s="1">
        <v>18</v>
      </c>
      <c r="AC19" s="1">
        <v>34.5</v>
      </c>
      <c r="AD19" s="1">
        <v>27.5</v>
      </c>
      <c r="AE19" s="1">
        <v>3.45</v>
      </c>
      <c r="AF19" s="1">
        <v>16000</v>
      </c>
      <c r="AG19" s="1">
        <v>19000</v>
      </c>
      <c r="AH19" s="1">
        <v>0.14000000000000001</v>
      </c>
      <c r="AI19" s="1" t="s">
        <v>719</v>
      </c>
      <c r="AJ19" s="1"/>
      <c r="AK19" s="1"/>
      <c r="AL19" s="1" t="s">
        <v>704</v>
      </c>
      <c r="AM19" s="1">
        <v>38.799999999999997</v>
      </c>
      <c r="AN19" s="1">
        <v>26.5</v>
      </c>
      <c r="AO19" s="1">
        <v>1</v>
      </c>
      <c r="AP19" s="1">
        <v>0.6</v>
      </c>
      <c r="AQ19" s="1">
        <v>2</v>
      </c>
      <c r="AR19" s="1">
        <v>24</v>
      </c>
      <c r="AS19" s="1">
        <v>25.4</v>
      </c>
      <c r="AT19" s="1">
        <v>28</v>
      </c>
      <c r="AU19" s="1">
        <v>41.7</v>
      </c>
      <c r="AV19" s="1">
        <v>1</v>
      </c>
      <c r="AW19" s="1">
        <v>0.6</v>
      </c>
      <c r="AX19" s="1">
        <v>0.2</v>
      </c>
      <c r="BC19" s="109">
        <v>7.0000000000000007E-2</v>
      </c>
      <c r="BD19" s="108">
        <v>0.27</v>
      </c>
      <c r="BE19">
        <v>1</v>
      </c>
      <c r="BF19">
        <v>0</v>
      </c>
      <c r="BG19" s="108">
        <v>0.56000000000000005</v>
      </c>
      <c r="BH19" s="110">
        <v>1.63</v>
      </c>
    </row>
    <row r="20" spans="2:60">
      <c r="B20" t="str">
        <f t="shared" si="0"/>
        <v>ID/OD(mm): 4/12, C/C0(kN): 0.806/0.28</v>
      </c>
      <c r="C20" s="101">
        <v>4</v>
      </c>
      <c r="D20" s="101">
        <v>12</v>
      </c>
      <c r="E20" s="101">
        <v>4</v>
      </c>
      <c r="F20" s="93">
        <v>0.80600000000000005</v>
      </c>
      <c r="G20" s="101">
        <v>0.28000000000000003</v>
      </c>
      <c r="H20" s="101">
        <v>1.2E-2</v>
      </c>
      <c r="I20" s="101">
        <v>120000</v>
      </c>
      <c r="J20" s="101">
        <v>75000</v>
      </c>
      <c r="K20" s="1">
        <v>2.0999999999999999E-3</v>
      </c>
      <c r="L20" s="1" t="s">
        <v>720</v>
      </c>
      <c r="N20" s="1">
        <v>6.1</v>
      </c>
      <c r="O20" s="1">
        <v>9</v>
      </c>
      <c r="P20" s="1">
        <v>9.9</v>
      </c>
      <c r="Q20" s="1">
        <v>0.15</v>
      </c>
      <c r="R20" s="1">
        <v>4.8</v>
      </c>
      <c r="S20" s="1">
        <v>10.199999999999999</v>
      </c>
      <c r="T20" s="1">
        <v>0.1</v>
      </c>
      <c r="U20" s="1">
        <v>0.02</v>
      </c>
      <c r="V20" s="1">
        <v>6.4</v>
      </c>
      <c r="Y20" t="s">
        <v>721</v>
      </c>
      <c r="Z20" s="1">
        <v>20</v>
      </c>
      <c r="AA20" s="1">
        <v>52</v>
      </c>
      <c r="AB20" s="1">
        <v>15</v>
      </c>
      <c r="AC20" s="1">
        <v>35.5</v>
      </c>
      <c r="AD20" s="1">
        <v>26</v>
      </c>
      <c r="AE20" s="1">
        <v>3.25</v>
      </c>
      <c r="AF20" s="1">
        <v>15000</v>
      </c>
      <c r="AG20" s="1">
        <v>18000</v>
      </c>
      <c r="AH20" s="1">
        <v>0.15</v>
      </c>
      <c r="AI20" s="1" t="s">
        <v>722</v>
      </c>
      <c r="AJ20" s="1"/>
      <c r="AK20" s="1"/>
      <c r="AL20" s="1">
        <v>31.2</v>
      </c>
      <c r="AM20" s="1">
        <v>42.4</v>
      </c>
      <c r="AN20" s="1">
        <v>27.5</v>
      </c>
      <c r="AO20" s="1">
        <v>1.1000000000000001</v>
      </c>
      <c r="AP20" s="1">
        <v>0.6</v>
      </c>
      <c r="AQ20" s="1">
        <v>0.9</v>
      </c>
      <c r="AR20" s="1">
        <v>24.1</v>
      </c>
      <c r="AS20" s="1">
        <v>26.2</v>
      </c>
      <c r="AT20" s="1">
        <v>29</v>
      </c>
      <c r="AU20" s="1">
        <v>45.4</v>
      </c>
      <c r="AV20" s="1">
        <v>1</v>
      </c>
      <c r="AW20" s="1">
        <v>0.6</v>
      </c>
      <c r="AX20" s="1">
        <v>0.15</v>
      </c>
      <c r="BC20" s="109">
        <v>8.4000000000000005E-2</v>
      </c>
      <c r="BD20" s="108">
        <v>0.28000000000000003</v>
      </c>
      <c r="BE20">
        <v>1</v>
      </c>
      <c r="BF20">
        <v>0</v>
      </c>
      <c r="BG20" s="108">
        <v>0.56000000000000005</v>
      </c>
      <c r="BH20" s="110">
        <v>1.55</v>
      </c>
    </row>
    <row r="21" spans="2:60">
      <c r="B21" t="str">
        <f t="shared" si="0"/>
        <v>ID/OD(mm): 8/16, C/C0(kN): 0.819/0.3</v>
      </c>
      <c r="C21" s="101">
        <v>8</v>
      </c>
      <c r="D21" s="101">
        <v>16</v>
      </c>
      <c r="E21" s="101">
        <v>4</v>
      </c>
      <c r="F21" s="93">
        <v>0.81899999999999995</v>
      </c>
      <c r="G21" s="101">
        <v>0.3</v>
      </c>
      <c r="H21" s="101">
        <v>1.2E-2</v>
      </c>
      <c r="I21" s="101">
        <v>90000</v>
      </c>
      <c r="J21" s="101">
        <v>56000</v>
      </c>
      <c r="K21" s="1">
        <v>3.0000000000000001E-3</v>
      </c>
      <c r="L21" s="1" t="s">
        <v>723</v>
      </c>
      <c r="N21" s="1">
        <v>12.1</v>
      </c>
      <c r="O21" s="1">
        <v>17.600000000000001</v>
      </c>
      <c r="P21" s="1">
        <v>19.2</v>
      </c>
      <c r="Q21" s="1">
        <v>0.3</v>
      </c>
      <c r="R21" s="1">
        <v>9.4</v>
      </c>
      <c r="S21" s="1">
        <v>19.600000000000001</v>
      </c>
      <c r="T21" s="1">
        <v>0.3</v>
      </c>
      <c r="U21" s="1">
        <v>2.5000000000000001E-2</v>
      </c>
      <c r="V21" s="1">
        <v>12</v>
      </c>
      <c r="Y21" t="s">
        <v>724</v>
      </c>
      <c r="Z21" s="1">
        <v>20</v>
      </c>
      <c r="AA21" s="1">
        <v>52</v>
      </c>
      <c r="AB21" s="1">
        <v>21</v>
      </c>
      <c r="AC21" s="1">
        <v>47.5</v>
      </c>
      <c r="AD21" s="1">
        <v>38</v>
      </c>
      <c r="AE21" s="1">
        <v>4.8</v>
      </c>
      <c r="AF21" s="1">
        <v>15000</v>
      </c>
      <c r="AG21" s="1">
        <v>18000</v>
      </c>
      <c r="AH21" s="1">
        <v>0.21</v>
      </c>
      <c r="AI21" s="1" t="s">
        <v>725</v>
      </c>
      <c r="AJ21" s="1"/>
      <c r="AK21" s="1"/>
      <c r="AL21" s="1" t="s">
        <v>704</v>
      </c>
      <c r="AM21" s="1">
        <v>42.4</v>
      </c>
      <c r="AN21" s="1">
        <v>27.5</v>
      </c>
      <c r="AO21" s="1">
        <v>1.1000000000000001</v>
      </c>
      <c r="AP21" s="1">
        <v>0.6</v>
      </c>
      <c r="AQ21" s="1">
        <v>1.9</v>
      </c>
      <c r="AR21" s="1">
        <v>24.1</v>
      </c>
      <c r="AS21" s="1">
        <v>26.2</v>
      </c>
      <c r="AT21" s="1">
        <v>29</v>
      </c>
      <c r="AU21" s="1">
        <v>45.4</v>
      </c>
      <c r="AV21" s="1">
        <v>1</v>
      </c>
      <c r="AW21" s="1">
        <v>0.6</v>
      </c>
      <c r="AX21" s="1">
        <v>0.25</v>
      </c>
      <c r="BC21" s="109">
        <v>0.11</v>
      </c>
      <c r="BD21" s="108">
        <v>0.3</v>
      </c>
      <c r="BE21">
        <v>1</v>
      </c>
      <c r="BF21">
        <v>0</v>
      </c>
      <c r="BG21" s="108">
        <v>0.56000000000000005</v>
      </c>
      <c r="BH21" s="110">
        <v>1.45</v>
      </c>
    </row>
    <row r="22" spans="2:60">
      <c r="B22" t="str">
        <f t="shared" si="0"/>
        <v>ID/OD(mm): 9/17, C/C0(kN): 0.871/0.34</v>
      </c>
      <c r="C22" s="101">
        <v>9</v>
      </c>
      <c r="D22" s="101">
        <v>17</v>
      </c>
      <c r="E22" s="101">
        <v>4</v>
      </c>
      <c r="F22" s="93">
        <v>0.871</v>
      </c>
      <c r="G22" s="101">
        <v>0.34</v>
      </c>
      <c r="H22" s="101">
        <v>1.4E-2</v>
      </c>
      <c r="I22" s="101">
        <v>85000</v>
      </c>
      <c r="J22" s="101">
        <v>53000</v>
      </c>
      <c r="K22" s="1">
        <v>3.3999999999999998E-3</v>
      </c>
      <c r="L22" s="1" t="s">
        <v>726</v>
      </c>
      <c r="N22" s="1">
        <v>14.4</v>
      </c>
      <c r="O22" s="1">
        <v>19.8</v>
      </c>
      <c r="P22" s="1">
        <v>21.2</v>
      </c>
      <c r="Q22" s="1">
        <v>0.3</v>
      </c>
      <c r="R22" s="1">
        <v>10.4</v>
      </c>
      <c r="S22" s="1">
        <v>21.6</v>
      </c>
      <c r="T22" s="1">
        <v>0.3</v>
      </c>
      <c r="U22" s="1">
        <v>2.5000000000000001E-2</v>
      </c>
      <c r="V22" s="1">
        <v>13</v>
      </c>
      <c r="Y22" t="s">
        <v>727</v>
      </c>
      <c r="Z22" s="1">
        <v>25</v>
      </c>
      <c r="AA22" s="1">
        <v>47</v>
      </c>
      <c r="AB22" s="1">
        <v>12</v>
      </c>
      <c r="AC22" s="1">
        <v>14.2</v>
      </c>
      <c r="AD22" s="1">
        <v>13.2</v>
      </c>
      <c r="AE22" s="1">
        <v>1.4</v>
      </c>
      <c r="AF22" s="1">
        <v>18000</v>
      </c>
      <c r="AG22" s="1">
        <v>18000</v>
      </c>
      <c r="AH22" s="1">
        <v>8.3000000000000004E-2</v>
      </c>
      <c r="AI22" s="1" t="s">
        <v>728</v>
      </c>
      <c r="AJ22" s="1"/>
      <c r="AK22" s="1">
        <v>25</v>
      </c>
      <c r="AL22" s="1" t="s">
        <v>704</v>
      </c>
      <c r="AM22" s="1">
        <v>38.799999999999997</v>
      </c>
      <c r="AN22" s="1">
        <v>30.5</v>
      </c>
      <c r="AO22" s="1">
        <v>0.6</v>
      </c>
      <c r="AP22" s="1">
        <v>0.3</v>
      </c>
      <c r="AQ22" s="1">
        <v>2</v>
      </c>
      <c r="AR22" s="1">
        <v>27.1</v>
      </c>
      <c r="AS22" s="1">
        <v>29.5</v>
      </c>
      <c r="AT22" s="1">
        <v>32</v>
      </c>
      <c r="AU22" s="1">
        <v>43.1</v>
      </c>
      <c r="AV22" s="1">
        <v>0.6</v>
      </c>
      <c r="AW22" s="1">
        <v>0.3</v>
      </c>
      <c r="AX22" s="1">
        <v>0.1</v>
      </c>
      <c r="BC22" s="109">
        <v>0.17</v>
      </c>
      <c r="BD22" s="108">
        <v>0.34</v>
      </c>
      <c r="BE22">
        <v>1</v>
      </c>
      <c r="BF22">
        <v>0</v>
      </c>
      <c r="BG22" s="108">
        <v>0.56000000000000005</v>
      </c>
      <c r="BH22" s="110">
        <v>1.31</v>
      </c>
    </row>
    <row r="23" spans="2:60">
      <c r="B23" t="str">
        <f t="shared" si="0"/>
        <v>ID/OD(mm): 5/13, C/C0(kN): 0.884/0.335</v>
      </c>
      <c r="C23" s="101">
        <v>5</v>
      </c>
      <c r="D23" s="101">
        <v>13</v>
      </c>
      <c r="E23" s="101">
        <v>4</v>
      </c>
      <c r="F23" s="93">
        <v>0.88400000000000001</v>
      </c>
      <c r="G23" s="101">
        <v>0.33500000000000002</v>
      </c>
      <c r="H23" s="101">
        <v>1.4E-2</v>
      </c>
      <c r="I23" s="101">
        <v>110000</v>
      </c>
      <c r="J23" s="101">
        <v>70000</v>
      </c>
      <c r="K23" s="1">
        <v>2.5000000000000001E-3</v>
      </c>
      <c r="L23" s="1" t="s">
        <v>729</v>
      </c>
      <c r="M23" s="1">
        <v>5</v>
      </c>
      <c r="N23" s="1">
        <v>6.8</v>
      </c>
      <c r="O23" s="1">
        <v>9.1999999999999993</v>
      </c>
      <c r="P23" s="1" t="s">
        <v>704</v>
      </c>
      <c r="Q23" s="1">
        <v>0.15</v>
      </c>
      <c r="R23" s="1">
        <v>5.8</v>
      </c>
      <c r="S23" s="1">
        <v>10.199999999999999</v>
      </c>
      <c r="T23" s="1">
        <v>0.1</v>
      </c>
      <c r="U23" s="1">
        <v>1.4999999999999999E-2</v>
      </c>
      <c r="V23" s="1">
        <v>7.1</v>
      </c>
      <c r="Y23" t="s">
        <v>730</v>
      </c>
      <c r="Z23" s="1">
        <v>25</v>
      </c>
      <c r="AA23" s="1">
        <v>52</v>
      </c>
      <c r="AB23" s="1">
        <v>15</v>
      </c>
      <c r="AC23" s="1">
        <v>32.5</v>
      </c>
      <c r="AD23" s="1">
        <v>27</v>
      </c>
      <c r="AE23" s="1">
        <v>3.35</v>
      </c>
      <c r="AF23" s="1">
        <v>14000</v>
      </c>
      <c r="AG23" s="1">
        <v>16000</v>
      </c>
      <c r="AH23" s="1">
        <v>0.13</v>
      </c>
      <c r="AI23" s="1" t="s">
        <v>731</v>
      </c>
      <c r="AJ23" s="1"/>
      <c r="AK23" s="1"/>
      <c r="AL23" s="1">
        <v>34.700000000000003</v>
      </c>
      <c r="AM23" s="1">
        <v>43.8</v>
      </c>
      <c r="AN23" s="1">
        <v>31.5</v>
      </c>
      <c r="AO23" s="1">
        <v>1</v>
      </c>
      <c r="AP23" s="1">
        <v>0.6</v>
      </c>
      <c r="AQ23" s="1">
        <v>1.3</v>
      </c>
      <c r="AR23" s="1">
        <v>28.9</v>
      </c>
      <c r="AS23" s="1">
        <v>30.4</v>
      </c>
      <c r="AT23" s="1">
        <v>33</v>
      </c>
      <c r="AU23" s="1">
        <v>46.4</v>
      </c>
      <c r="AV23" s="1">
        <v>1</v>
      </c>
      <c r="AW23" s="1">
        <v>0.6</v>
      </c>
      <c r="AX23" s="1">
        <v>0.15</v>
      </c>
      <c r="BC23" s="109">
        <v>0.28000000000000003</v>
      </c>
      <c r="BD23" s="108">
        <v>0.38</v>
      </c>
      <c r="BE23">
        <v>1</v>
      </c>
      <c r="BF23">
        <v>0</v>
      </c>
      <c r="BG23" s="108">
        <v>0.56000000000000005</v>
      </c>
      <c r="BH23" s="110">
        <v>1.1499999999999999</v>
      </c>
    </row>
    <row r="24" spans="2:60">
      <c r="B24" t="str">
        <f t="shared" si="0"/>
        <v>ID/OD(mm): 6/15, C/C0(kN): 0.884/0.27</v>
      </c>
      <c r="C24" s="101">
        <v>6</v>
      </c>
      <c r="D24" s="101">
        <v>15</v>
      </c>
      <c r="E24" s="101">
        <v>5</v>
      </c>
      <c r="F24" s="93">
        <v>0.88400000000000001</v>
      </c>
      <c r="G24" s="101">
        <v>0.27</v>
      </c>
      <c r="H24" s="101">
        <v>1.0999999999999999E-2</v>
      </c>
      <c r="I24" s="101">
        <v>100000</v>
      </c>
      <c r="J24" s="101">
        <v>63000</v>
      </c>
      <c r="K24" s="1">
        <v>3.8999999999999998E-3</v>
      </c>
      <c r="L24" s="1" t="s">
        <v>732</v>
      </c>
      <c r="M24" s="1">
        <v>6</v>
      </c>
      <c r="N24" s="1">
        <v>8</v>
      </c>
      <c r="O24" s="1">
        <v>11</v>
      </c>
      <c r="P24" s="1" t="s">
        <v>704</v>
      </c>
      <c r="Q24" s="1">
        <v>0.15</v>
      </c>
      <c r="R24" s="1">
        <v>6.8</v>
      </c>
      <c r="S24" s="1">
        <v>12.2</v>
      </c>
      <c r="T24" s="1">
        <v>0.1</v>
      </c>
      <c r="U24" s="1">
        <v>1.4999999999999999E-2</v>
      </c>
      <c r="V24" s="1">
        <v>7</v>
      </c>
      <c r="Y24" t="s">
        <v>733</v>
      </c>
      <c r="Z24" s="1">
        <v>25</v>
      </c>
      <c r="AA24" s="1">
        <v>52</v>
      </c>
      <c r="AB24" s="1">
        <v>18</v>
      </c>
      <c r="AC24" s="1">
        <v>39</v>
      </c>
      <c r="AD24" s="1">
        <v>34</v>
      </c>
      <c r="AE24" s="1">
        <v>4.25</v>
      </c>
      <c r="AF24" s="1">
        <v>14000</v>
      </c>
      <c r="AG24" s="1">
        <v>16000</v>
      </c>
      <c r="AH24" s="1">
        <v>0.16</v>
      </c>
      <c r="AI24" s="1" t="s">
        <v>734</v>
      </c>
      <c r="AJ24" s="1"/>
      <c r="AK24" s="1"/>
      <c r="AL24" s="1">
        <v>34.700000000000003</v>
      </c>
      <c r="AM24" s="1">
        <v>43.8</v>
      </c>
      <c r="AN24" s="1">
        <v>31.5</v>
      </c>
      <c r="AO24" s="1">
        <v>1</v>
      </c>
      <c r="AP24" s="1">
        <v>0.6</v>
      </c>
      <c r="AQ24" s="1">
        <v>1.8</v>
      </c>
      <c r="AR24" s="1">
        <v>28.9</v>
      </c>
      <c r="AS24" s="1">
        <v>30.4</v>
      </c>
      <c r="AT24" s="1">
        <v>33</v>
      </c>
      <c r="AU24" s="1">
        <v>46.4</v>
      </c>
      <c r="AV24" s="1">
        <v>1</v>
      </c>
      <c r="AW24" s="1">
        <v>0.6</v>
      </c>
      <c r="AX24" s="1">
        <v>0.2</v>
      </c>
      <c r="BC24" s="109">
        <v>0.42</v>
      </c>
      <c r="BD24" s="108">
        <v>0.42</v>
      </c>
      <c r="BE24">
        <v>1</v>
      </c>
      <c r="BF24">
        <v>0</v>
      </c>
      <c r="BG24" s="108">
        <v>0.56000000000000005</v>
      </c>
      <c r="BH24" s="110">
        <v>1.04</v>
      </c>
    </row>
    <row r="25" spans="2:60">
      <c r="B25" t="str">
        <f t="shared" si="0"/>
        <v>ID/OD(mm): 4/13, C/C0(kN): 0.936/0.29</v>
      </c>
      <c r="C25" s="101">
        <v>4</v>
      </c>
      <c r="D25" s="101">
        <v>13</v>
      </c>
      <c r="E25" s="101">
        <v>5</v>
      </c>
      <c r="F25" s="93">
        <v>0.93600000000000005</v>
      </c>
      <c r="G25" s="101">
        <v>0.28999999999999998</v>
      </c>
      <c r="H25" s="101">
        <v>1.2E-2</v>
      </c>
      <c r="I25" s="101">
        <v>110000</v>
      </c>
      <c r="J25" s="101">
        <v>67000</v>
      </c>
      <c r="K25" s="1">
        <v>3.0999999999999999E-3</v>
      </c>
      <c r="L25" s="1" t="s">
        <v>735</v>
      </c>
      <c r="N25" s="1">
        <v>6.1</v>
      </c>
      <c r="O25" s="1">
        <v>9.9</v>
      </c>
      <c r="P25" s="1" t="s">
        <v>704</v>
      </c>
      <c r="Q25" s="1">
        <v>0.2</v>
      </c>
      <c r="R25" s="1">
        <v>5.4</v>
      </c>
      <c r="S25" s="1">
        <v>10.6</v>
      </c>
      <c r="T25" s="1">
        <v>0.2</v>
      </c>
      <c r="U25" s="1">
        <v>2.5000000000000001E-2</v>
      </c>
      <c r="V25" s="1">
        <v>10</v>
      </c>
      <c r="Y25" t="s">
        <v>736</v>
      </c>
      <c r="Z25" s="1">
        <v>25</v>
      </c>
      <c r="AA25" s="1">
        <v>62</v>
      </c>
      <c r="AB25" s="1">
        <v>17</v>
      </c>
      <c r="AC25" s="1">
        <v>46.5</v>
      </c>
      <c r="AD25" s="1">
        <v>36.5</v>
      </c>
      <c r="AE25" s="1">
        <v>4.55</v>
      </c>
      <c r="AF25" s="1">
        <v>12000</v>
      </c>
      <c r="AG25" s="1">
        <v>15000</v>
      </c>
      <c r="AH25" s="1">
        <v>0.23</v>
      </c>
      <c r="AI25" s="1" t="s">
        <v>737</v>
      </c>
      <c r="AJ25" s="1"/>
      <c r="AK25" s="1"/>
      <c r="AL25" s="1">
        <v>38.1</v>
      </c>
      <c r="AM25" s="1">
        <v>50.7</v>
      </c>
      <c r="AN25" s="1">
        <v>34</v>
      </c>
      <c r="AO25" s="1">
        <v>1.1000000000000001</v>
      </c>
      <c r="AP25" s="1">
        <v>1.1000000000000001</v>
      </c>
      <c r="AQ25" s="1">
        <v>1.3</v>
      </c>
      <c r="AR25" s="1">
        <v>31</v>
      </c>
      <c r="AS25" s="1">
        <v>32.5</v>
      </c>
      <c r="AT25" s="1">
        <v>36</v>
      </c>
      <c r="AU25" s="1">
        <v>54.9</v>
      </c>
      <c r="AV25" s="1">
        <v>1</v>
      </c>
      <c r="AW25" s="1">
        <v>1</v>
      </c>
      <c r="AX25" s="1">
        <v>0.15</v>
      </c>
      <c r="BC25" s="111">
        <v>0.56000000000000005</v>
      </c>
      <c r="BD25" s="112">
        <v>0.44</v>
      </c>
      <c r="BE25" s="113">
        <v>1</v>
      </c>
      <c r="BF25" s="113">
        <v>0</v>
      </c>
      <c r="BG25" s="112">
        <v>0.56000000000000005</v>
      </c>
      <c r="BH25" s="114">
        <v>1</v>
      </c>
    </row>
    <row r="26" spans="2:60">
      <c r="B26" t="str">
        <f t="shared" si="0"/>
        <v>ID/OD(mm): 7/17, C/C0(kN): 1.06/0.375</v>
      </c>
      <c r="C26" s="101">
        <v>7</v>
      </c>
      <c r="D26" s="101">
        <v>17</v>
      </c>
      <c r="E26" s="101">
        <v>5</v>
      </c>
      <c r="F26" s="93">
        <v>1.06</v>
      </c>
      <c r="G26" s="101">
        <v>0.375</v>
      </c>
      <c r="H26" s="101">
        <v>1.6E-2</v>
      </c>
      <c r="I26" s="101">
        <v>90000</v>
      </c>
      <c r="J26" s="101">
        <v>56000</v>
      </c>
      <c r="K26" s="1">
        <v>4.8999999999999998E-3</v>
      </c>
      <c r="L26" s="1" t="s">
        <v>738</v>
      </c>
      <c r="M26" s="1">
        <v>7</v>
      </c>
      <c r="N26" s="1">
        <v>9</v>
      </c>
      <c r="O26" s="1">
        <v>12</v>
      </c>
      <c r="P26" s="1" t="s">
        <v>704</v>
      </c>
      <c r="Q26" s="1">
        <v>0.15</v>
      </c>
      <c r="R26" s="1">
        <v>7.8</v>
      </c>
      <c r="S26" s="1">
        <v>13.2</v>
      </c>
      <c r="T26" s="1">
        <v>0.1</v>
      </c>
      <c r="U26" s="1">
        <v>1.4999999999999999E-2</v>
      </c>
      <c r="V26" s="1">
        <v>7.2</v>
      </c>
      <c r="Y26" t="s">
        <v>739</v>
      </c>
      <c r="Z26" s="1">
        <v>25</v>
      </c>
      <c r="AA26" s="1">
        <v>62</v>
      </c>
      <c r="AB26" s="1">
        <v>24</v>
      </c>
      <c r="AC26" s="1">
        <v>64</v>
      </c>
      <c r="AD26" s="1">
        <v>55</v>
      </c>
      <c r="AE26" s="1">
        <v>6.95</v>
      </c>
      <c r="AF26" s="1">
        <v>12000</v>
      </c>
      <c r="AG26" s="1">
        <v>15000</v>
      </c>
      <c r="AH26" s="1">
        <v>0.34</v>
      </c>
      <c r="AI26" s="1" t="s">
        <v>740</v>
      </c>
      <c r="AJ26" s="1"/>
      <c r="AK26" s="1"/>
      <c r="AL26" s="1">
        <v>38.1</v>
      </c>
      <c r="AM26" s="1">
        <v>50.7</v>
      </c>
      <c r="AN26" s="1">
        <v>34</v>
      </c>
      <c r="AO26" s="1">
        <v>1.1000000000000001</v>
      </c>
      <c r="AP26" s="1">
        <v>1.1000000000000001</v>
      </c>
      <c r="AQ26" s="1">
        <v>2.2999999999999998</v>
      </c>
      <c r="AR26" s="1">
        <v>31</v>
      </c>
      <c r="AS26" s="1">
        <v>32.5</v>
      </c>
      <c r="AT26" s="1">
        <v>36</v>
      </c>
      <c r="AU26" s="1">
        <v>54.9</v>
      </c>
      <c r="AV26" s="1">
        <v>1</v>
      </c>
      <c r="AW26" s="1">
        <v>1</v>
      </c>
      <c r="AX26" s="1">
        <v>0.25</v>
      </c>
    </row>
    <row r="27" spans="2:60">
      <c r="B27" t="str">
        <f t="shared" si="0"/>
        <v>ID/OD(mm): 4/16, C/C0(kN): 1.11/0.38</v>
      </c>
      <c r="C27" s="101">
        <v>4</v>
      </c>
      <c r="D27" s="101">
        <v>16</v>
      </c>
      <c r="E27" s="101">
        <v>5</v>
      </c>
      <c r="F27" s="93">
        <v>1.1100000000000001</v>
      </c>
      <c r="G27" s="101">
        <v>0.38</v>
      </c>
      <c r="H27" s="101">
        <v>1.6E-2</v>
      </c>
      <c r="I27" s="101">
        <v>95000</v>
      </c>
      <c r="J27" s="101">
        <v>60000</v>
      </c>
      <c r="K27" s="1">
        <v>5.4000000000000003E-3</v>
      </c>
      <c r="L27" s="1" t="s">
        <v>741</v>
      </c>
      <c r="N27" s="1">
        <v>6.7</v>
      </c>
      <c r="O27" s="1">
        <v>10.3</v>
      </c>
      <c r="P27" s="1">
        <v>11.2</v>
      </c>
      <c r="Q27" s="1">
        <v>0.2</v>
      </c>
      <c r="R27" s="1">
        <v>5.8</v>
      </c>
      <c r="S27" s="1">
        <v>11.2</v>
      </c>
      <c r="T27" s="1">
        <v>0.2</v>
      </c>
      <c r="U27" s="1">
        <v>2.5000000000000001E-2</v>
      </c>
      <c r="V27" s="1">
        <v>10</v>
      </c>
      <c r="Y27" t="s">
        <v>742</v>
      </c>
      <c r="Z27" s="1">
        <v>30</v>
      </c>
      <c r="AA27" s="1">
        <v>55</v>
      </c>
      <c r="AB27" s="1">
        <v>13</v>
      </c>
      <c r="AC27" s="1">
        <v>17.899999999999999</v>
      </c>
      <c r="AD27" s="1">
        <v>17.3</v>
      </c>
      <c r="AE27" s="1">
        <v>1.86</v>
      </c>
      <c r="AF27" s="1">
        <v>15000</v>
      </c>
      <c r="AG27" s="1">
        <v>15000</v>
      </c>
      <c r="AH27" s="1">
        <v>0.12</v>
      </c>
      <c r="AI27" s="1" t="s">
        <v>743</v>
      </c>
      <c r="AJ27" s="1"/>
      <c r="AK27" s="1">
        <v>30</v>
      </c>
      <c r="AL27" s="1" t="s">
        <v>704</v>
      </c>
      <c r="AM27" s="1">
        <v>45.6</v>
      </c>
      <c r="AN27" s="1">
        <v>36.5</v>
      </c>
      <c r="AO27" s="1">
        <v>1</v>
      </c>
      <c r="AP27" s="1">
        <v>0.6</v>
      </c>
      <c r="AQ27" s="1">
        <v>2.1</v>
      </c>
      <c r="AR27" s="1">
        <v>32.9</v>
      </c>
      <c r="AS27" s="1">
        <v>35.4</v>
      </c>
      <c r="AT27" s="1">
        <v>38</v>
      </c>
      <c r="AU27" s="1">
        <v>49.8</v>
      </c>
      <c r="AV27" s="1">
        <v>1</v>
      </c>
      <c r="AW27" s="1">
        <v>0.6</v>
      </c>
      <c r="AX27" s="1">
        <v>0.1</v>
      </c>
    </row>
    <row r="28" spans="2:60">
      <c r="B28" t="str">
        <f t="shared" si="0"/>
        <v>ID/OD(mm): 5/16, C/C0(kN): 1.14/0.38</v>
      </c>
      <c r="C28" s="101">
        <v>5</v>
      </c>
      <c r="D28" s="101">
        <v>16</v>
      </c>
      <c r="E28" s="101">
        <v>5</v>
      </c>
      <c r="F28" s="93">
        <v>1.1399999999999999</v>
      </c>
      <c r="G28" s="101">
        <v>0.38</v>
      </c>
      <c r="H28" s="101">
        <v>1.6E-2</v>
      </c>
      <c r="I28" s="101">
        <v>95000</v>
      </c>
      <c r="J28" s="101">
        <v>60000</v>
      </c>
      <c r="K28" s="1">
        <v>5.0000000000000001E-3</v>
      </c>
      <c r="L28" s="1" t="s">
        <v>744</v>
      </c>
      <c r="N28" s="1">
        <v>7.5</v>
      </c>
      <c r="O28" s="1">
        <v>10.5</v>
      </c>
      <c r="P28" s="1">
        <v>11.2</v>
      </c>
      <c r="Q28" s="1">
        <v>0.2</v>
      </c>
      <c r="R28" s="1">
        <v>6.4</v>
      </c>
      <c r="S28" s="1">
        <v>11.6</v>
      </c>
      <c r="T28" s="1">
        <v>0.2</v>
      </c>
      <c r="U28" s="1">
        <v>0.02</v>
      </c>
      <c r="V28" s="1">
        <v>11</v>
      </c>
      <c r="Y28" t="s">
        <v>745</v>
      </c>
      <c r="Z28" s="1">
        <v>30</v>
      </c>
      <c r="AA28" s="1">
        <v>62</v>
      </c>
      <c r="AB28" s="1">
        <v>16</v>
      </c>
      <c r="AC28" s="1">
        <v>44</v>
      </c>
      <c r="AD28" s="1">
        <v>36.5</v>
      </c>
      <c r="AE28" s="1">
        <v>4.5</v>
      </c>
      <c r="AF28" s="1">
        <v>13000</v>
      </c>
      <c r="AG28" s="1">
        <v>14000</v>
      </c>
      <c r="AH28" s="1">
        <v>0.2</v>
      </c>
      <c r="AI28" s="1" t="s">
        <v>746</v>
      </c>
      <c r="AJ28" s="1"/>
      <c r="AK28" s="1"/>
      <c r="AL28" s="1">
        <v>41.2</v>
      </c>
      <c r="AM28" s="1">
        <v>52.5</v>
      </c>
      <c r="AN28" s="1">
        <v>37.5</v>
      </c>
      <c r="AO28" s="1">
        <v>1</v>
      </c>
      <c r="AP28" s="1">
        <v>0.6</v>
      </c>
      <c r="AQ28" s="1">
        <v>1.3</v>
      </c>
      <c r="AR28" s="1">
        <v>34.299999999999997</v>
      </c>
      <c r="AS28" s="1">
        <v>36.1</v>
      </c>
      <c r="AT28" s="1">
        <v>39</v>
      </c>
      <c r="AU28" s="1">
        <v>55.9</v>
      </c>
      <c r="AV28" s="1">
        <v>1</v>
      </c>
      <c r="AW28" s="1">
        <v>0.6</v>
      </c>
      <c r="AX28" s="1">
        <v>0.15</v>
      </c>
    </row>
    <row r="29" spans="2:60">
      <c r="B29" t="str">
        <f t="shared" si="0"/>
        <v>ID/OD(mm): 8/19, C/C0(kN): 1.46/0.465</v>
      </c>
      <c r="C29" s="101">
        <v>8</v>
      </c>
      <c r="D29" s="101">
        <v>19</v>
      </c>
      <c r="E29" s="101">
        <v>6</v>
      </c>
      <c r="F29" s="93">
        <v>1.46</v>
      </c>
      <c r="G29" s="101">
        <v>0.46500000000000002</v>
      </c>
      <c r="H29" s="101">
        <v>0.02</v>
      </c>
      <c r="I29" s="101">
        <v>85000</v>
      </c>
      <c r="J29" s="101">
        <v>53000</v>
      </c>
      <c r="K29" s="1">
        <v>7.1000000000000004E-3</v>
      </c>
      <c r="L29" s="1" t="s">
        <v>747</v>
      </c>
      <c r="M29" s="1">
        <v>8</v>
      </c>
      <c r="N29" s="1">
        <v>10.5</v>
      </c>
      <c r="O29" s="1">
        <v>13.5</v>
      </c>
      <c r="P29" s="1" t="s">
        <v>704</v>
      </c>
      <c r="Q29" s="1">
        <v>0.2</v>
      </c>
      <c r="R29" s="1">
        <v>9.4</v>
      </c>
      <c r="S29" s="1">
        <v>14.6</v>
      </c>
      <c r="T29" s="1">
        <v>0.2</v>
      </c>
      <c r="U29" s="1">
        <v>1.4999999999999999E-2</v>
      </c>
      <c r="V29" s="1">
        <v>7.5</v>
      </c>
      <c r="Y29" t="s">
        <v>748</v>
      </c>
      <c r="Z29" s="1">
        <v>30</v>
      </c>
      <c r="AA29" s="1">
        <v>62</v>
      </c>
      <c r="AB29" s="1">
        <v>20</v>
      </c>
      <c r="AC29" s="1">
        <v>55</v>
      </c>
      <c r="AD29" s="1">
        <v>49</v>
      </c>
      <c r="AE29" s="1">
        <v>6.1</v>
      </c>
      <c r="AF29" s="1">
        <v>13000</v>
      </c>
      <c r="AG29" s="1">
        <v>14000</v>
      </c>
      <c r="AH29" s="1">
        <v>0.26</v>
      </c>
      <c r="AI29" s="1" t="s">
        <v>749</v>
      </c>
      <c r="AJ29" s="1"/>
      <c r="AK29" s="1"/>
      <c r="AL29" s="1" t="s">
        <v>704</v>
      </c>
      <c r="AM29" s="1">
        <v>52.5</v>
      </c>
      <c r="AN29" s="1">
        <v>37.5</v>
      </c>
      <c r="AO29" s="1">
        <v>1</v>
      </c>
      <c r="AP29" s="1">
        <v>0.6</v>
      </c>
      <c r="AQ29" s="1">
        <v>1.8</v>
      </c>
      <c r="AR29" s="1">
        <v>34.299999999999997</v>
      </c>
      <c r="AS29" s="1">
        <v>36.1</v>
      </c>
      <c r="AT29" s="1">
        <v>39</v>
      </c>
      <c r="AU29" s="1">
        <v>55.9</v>
      </c>
      <c r="AV29" s="1">
        <v>1</v>
      </c>
      <c r="AW29" s="1">
        <v>0.6</v>
      </c>
      <c r="AX29" s="1">
        <v>0.2</v>
      </c>
    </row>
    <row r="30" spans="2:60">
      <c r="B30" t="str">
        <f t="shared" si="0"/>
        <v>ID/OD(mm): 10/19, C/C0(kN): 1.72/0.83</v>
      </c>
      <c r="C30" s="101">
        <v>10</v>
      </c>
      <c r="D30" s="101">
        <v>19</v>
      </c>
      <c r="E30" s="101">
        <v>5</v>
      </c>
      <c r="F30" s="93">
        <v>1.72</v>
      </c>
      <c r="G30" s="101">
        <v>0.83</v>
      </c>
      <c r="H30" s="101">
        <v>3.5999999999999997E-2</v>
      </c>
      <c r="I30" s="101">
        <v>80000</v>
      </c>
      <c r="J30" s="101">
        <v>48000</v>
      </c>
      <c r="K30" s="1">
        <v>5.3E-3</v>
      </c>
      <c r="L30" s="1" t="s">
        <v>750</v>
      </c>
      <c r="N30" s="1">
        <v>14.8</v>
      </c>
      <c r="O30" s="1">
        <v>21.2</v>
      </c>
      <c r="P30" s="1">
        <v>22.6</v>
      </c>
      <c r="Q30" s="1">
        <v>0.3</v>
      </c>
      <c r="R30" s="1">
        <v>11.4</v>
      </c>
      <c r="S30" s="1">
        <v>23.6</v>
      </c>
      <c r="T30" s="1">
        <v>0.3</v>
      </c>
      <c r="U30" s="1">
        <v>2.5000000000000001E-2</v>
      </c>
      <c r="V30" s="1">
        <v>12</v>
      </c>
      <c r="Y30" t="s">
        <v>751</v>
      </c>
      <c r="Z30" s="1">
        <v>30</v>
      </c>
      <c r="AA30" s="1">
        <v>72</v>
      </c>
      <c r="AB30" s="1">
        <v>19</v>
      </c>
      <c r="AC30" s="1">
        <v>58.5</v>
      </c>
      <c r="AD30" s="1">
        <v>48</v>
      </c>
      <c r="AE30" s="1">
        <v>6.2</v>
      </c>
      <c r="AF30" s="1">
        <v>11000</v>
      </c>
      <c r="AG30" s="1">
        <v>12000</v>
      </c>
      <c r="AH30" s="1">
        <v>0.36</v>
      </c>
      <c r="AI30" s="1" t="s">
        <v>752</v>
      </c>
      <c r="AJ30" s="1"/>
      <c r="AK30" s="1"/>
      <c r="AL30" s="1">
        <v>45</v>
      </c>
      <c r="AM30" s="1">
        <v>58.9</v>
      </c>
      <c r="AN30" s="1">
        <v>40.5</v>
      </c>
      <c r="AO30" s="1">
        <v>1.1000000000000001</v>
      </c>
      <c r="AP30" s="1">
        <v>1.1000000000000001</v>
      </c>
      <c r="AQ30" s="1">
        <v>1.4</v>
      </c>
      <c r="AR30" s="1">
        <v>37</v>
      </c>
      <c r="AS30" s="1">
        <v>39</v>
      </c>
      <c r="AT30" s="1">
        <v>43</v>
      </c>
      <c r="AU30" s="1">
        <v>65.099999999999994</v>
      </c>
      <c r="AV30" s="1">
        <v>1</v>
      </c>
      <c r="AW30" s="1">
        <v>1</v>
      </c>
      <c r="AX30" s="1">
        <v>0.15</v>
      </c>
    </row>
    <row r="31" spans="2:60">
      <c r="B31" t="str">
        <f t="shared" si="0"/>
        <v>ID/OD(mm): 12/21, C/C0(kN): 1.74/0.915</v>
      </c>
      <c r="C31" s="101">
        <v>12</v>
      </c>
      <c r="D31" s="101">
        <v>21</v>
      </c>
      <c r="E31" s="101">
        <v>5</v>
      </c>
      <c r="F31" s="93">
        <v>1.74</v>
      </c>
      <c r="G31" s="101">
        <v>0.91500000000000004</v>
      </c>
      <c r="H31" s="101">
        <v>3.9E-2</v>
      </c>
      <c r="I31" s="101">
        <v>70000</v>
      </c>
      <c r="J31" s="101">
        <v>43000</v>
      </c>
      <c r="K31" s="1">
        <v>6.3E-3</v>
      </c>
      <c r="L31" s="1" t="s">
        <v>753</v>
      </c>
      <c r="N31" s="1">
        <v>17.5</v>
      </c>
      <c r="O31" s="1">
        <v>26.9</v>
      </c>
      <c r="P31" s="1">
        <v>28.7</v>
      </c>
      <c r="Q31" s="1">
        <v>0.6</v>
      </c>
      <c r="R31" s="1">
        <v>14.2</v>
      </c>
      <c r="S31" s="1">
        <v>30.8</v>
      </c>
      <c r="T31" s="1">
        <v>0.6</v>
      </c>
      <c r="U31" s="1">
        <v>0.03</v>
      </c>
      <c r="V31" s="1">
        <v>11</v>
      </c>
      <c r="Y31" t="s">
        <v>754</v>
      </c>
      <c r="Z31" s="1">
        <v>30</v>
      </c>
      <c r="AA31" s="1">
        <v>72</v>
      </c>
      <c r="AB31" s="1">
        <v>27</v>
      </c>
      <c r="AC31" s="1">
        <v>83</v>
      </c>
      <c r="AD31" s="1">
        <v>75</v>
      </c>
      <c r="AE31" s="1">
        <v>9.65</v>
      </c>
      <c r="AF31" s="1">
        <v>11000</v>
      </c>
      <c r="AG31" s="1">
        <v>12000</v>
      </c>
      <c r="AH31" s="1">
        <v>0.53</v>
      </c>
      <c r="AI31" s="1" t="s">
        <v>755</v>
      </c>
      <c r="AJ31" s="1"/>
      <c r="AK31" s="1"/>
      <c r="AL31" s="1" t="s">
        <v>704</v>
      </c>
      <c r="AM31" s="1">
        <v>58.9</v>
      </c>
      <c r="AN31" s="1">
        <v>40.5</v>
      </c>
      <c r="AO31" s="1">
        <v>1.1000000000000001</v>
      </c>
      <c r="AP31" s="1">
        <v>1.1000000000000001</v>
      </c>
      <c r="AQ31" s="1">
        <v>2.4</v>
      </c>
      <c r="AR31" s="1">
        <v>37</v>
      </c>
      <c r="AS31" s="1">
        <v>39</v>
      </c>
      <c r="AT31" s="1">
        <v>43</v>
      </c>
      <c r="AU31" s="1">
        <v>65.099999999999994</v>
      </c>
      <c r="AV31" s="1">
        <v>1</v>
      </c>
      <c r="AW31" s="1">
        <v>1</v>
      </c>
      <c r="AX31" s="1">
        <v>0.25</v>
      </c>
    </row>
    <row r="32" spans="2:60">
      <c r="B32" t="str">
        <f t="shared" si="0"/>
        <v>ID/OD(mm): 15/24, C/C0(kN): 1.9/1.1</v>
      </c>
      <c r="C32" s="101">
        <v>15</v>
      </c>
      <c r="D32" s="101">
        <v>24</v>
      </c>
      <c r="E32" s="101">
        <v>5</v>
      </c>
      <c r="F32" s="93">
        <v>1.9</v>
      </c>
      <c r="G32" s="101">
        <v>1.1000000000000001</v>
      </c>
      <c r="H32" s="101">
        <v>4.8000000000000001E-2</v>
      </c>
      <c r="I32" s="101">
        <v>60000</v>
      </c>
      <c r="J32" s="101">
        <v>38000</v>
      </c>
      <c r="K32" s="1">
        <v>6.4999999999999997E-3</v>
      </c>
      <c r="L32" s="1" t="s">
        <v>756</v>
      </c>
      <c r="N32" s="1">
        <v>19.5</v>
      </c>
      <c r="O32" s="1">
        <v>29.5</v>
      </c>
      <c r="P32" s="1">
        <v>31.5</v>
      </c>
      <c r="Q32" s="1">
        <v>1</v>
      </c>
      <c r="R32" s="1">
        <v>17.600000000000001</v>
      </c>
      <c r="S32" s="1">
        <v>31.4</v>
      </c>
      <c r="T32" s="1">
        <v>1</v>
      </c>
      <c r="U32" s="1">
        <v>0.03</v>
      </c>
      <c r="V32" s="1">
        <v>11</v>
      </c>
      <c r="Y32" t="s">
        <v>757</v>
      </c>
      <c r="Z32" s="1">
        <v>30</v>
      </c>
      <c r="AA32" s="1">
        <v>90</v>
      </c>
      <c r="AB32" s="1">
        <v>23</v>
      </c>
      <c r="AC32" s="1">
        <v>60.5</v>
      </c>
      <c r="AD32" s="1">
        <v>53</v>
      </c>
      <c r="AE32" s="1">
        <v>6.8</v>
      </c>
      <c r="AF32" s="1">
        <v>9000</v>
      </c>
      <c r="AG32" s="1">
        <v>11000</v>
      </c>
      <c r="AH32" s="1">
        <v>0.75</v>
      </c>
      <c r="AI32" s="1" t="s">
        <v>758</v>
      </c>
      <c r="AJ32" s="1"/>
      <c r="AK32" s="1"/>
      <c r="AL32" s="1">
        <v>50.5</v>
      </c>
      <c r="AM32" s="1">
        <v>66.599999999999994</v>
      </c>
      <c r="AN32" s="1">
        <v>45</v>
      </c>
      <c r="AO32" s="1">
        <v>1.5</v>
      </c>
      <c r="AP32" s="1">
        <v>1.5</v>
      </c>
      <c r="AQ32" s="1">
        <v>1.6</v>
      </c>
      <c r="AR32" s="1">
        <v>41</v>
      </c>
      <c r="AS32" s="1">
        <v>43</v>
      </c>
      <c r="AT32" s="1">
        <v>47</v>
      </c>
      <c r="AU32" s="1">
        <v>81</v>
      </c>
      <c r="AV32" s="1">
        <v>1.5</v>
      </c>
      <c r="AW32" s="1">
        <v>1.5</v>
      </c>
      <c r="AX32" s="1">
        <v>0.15</v>
      </c>
    </row>
    <row r="33" spans="2:50">
      <c r="B33" t="str">
        <f t="shared" si="0"/>
        <v>ID/OD(mm): 17/26, C/C0(kN): 2.03/1.27</v>
      </c>
      <c r="C33" s="101">
        <v>17</v>
      </c>
      <c r="D33" s="101">
        <v>26</v>
      </c>
      <c r="E33" s="101">
        <v>5</v>
      </c>
      <c r="F33" s="93">
        <v>2.0299999999999998</v>
      </c>
      <c r="G33" s="101">
        <v>1.27</v>
      </c>
      <c r="H33" s="101">
        <v>5.3999999999999999E-2</v>
      </c>
      <c r="I33" s="101">
        <v>56000</v>
      </c>
      <c r="J33" s="101">
        <v>34000</v>
      </c>
      <c r="K33" s="1">
        <v>7.4999999999999997E-3</v>
      </c>
      <c r="L33" s="1" t="s">
        <v>759</v>
      </c>
      <c r="N33" s="1">
        <v>23.7</v>
      </c>
      <c r="O33" s="1">
        <v>33.700000000000003</v>
      </c>
      <c r="P33" s="1">
        <v>36.299999999999997</v>
      </c>
      <c r="Q33" s="1">
        <v>1</v>
      </c>
      <c r="R33" s="1">
        <v>20.6</v>
      </c>
      <c r="S33" s="1">
        <v>36.4</v>
      </c>
      <c r="T33" s="1">
        <v>1</v>
      </c>
      <c r="U33" s="1">
        <v>0.03</v>
      </c>
      <c r="V33" s="1">
        <v>12</v>
      </c>
      <c r="Y33" t="s">
        <v>760</v>
      </c>
      <c r="Z33" s="1">
        <v>35</v>
      </c>
      <c r="AA33" s="1">
        <v>62</v>
      </c>
      <c r="AB33" s="1">
        <v>14</v>
      </c>
      <c r="AC33" s="1">
        <v>35.799999999999997</v>
      </c>
      <c r="AD33" s="1">
        <v>38</v>
      </c>
      <c r="AE33" s="1">
        <v>4.55</v>
      </c>
      <c r="AF33" s="1">
        <v>13000</v>
      </c>
      <c r="AG33" s="1">
        <v>13000</v>
      </c>
      <c r="AH33" s="1">
        <v>0.16</v>
      </c>
      <c r="AI33" s="1" t="s">
        <v>761</v>
      </c>
      <c r="AJ33" s="1"/>
      <c r="AK33" s="1">
        <v>35</v>
      </c>
      <c r="AL33" s="1" t="s">
        <v>704</v>
      </c>
      <c r="AM33" s="1">
        <v>54.5</v>
      </c>
      <c r="AN33" s="1">
        <v>42</v>
      </c>
      <c r="AO33" s="1">
        <v>1</v>
      </c>
      <c r="AP33" s="1">
        <v>0.6</v>
      </c>
      <c r="AQ33" s="1">
        <v>1</v>
      </c>
      <c r="AR33" s="1">
        <v>38</v>
      </c>
      <c r="AS33" s="1">
        <v>41</v>
      </c>
      <c r="AT33" s="1">
        <v>44</v>
      </c>
      <c r="AU33" s="1">
        <v>56.5</v>
      </c>
      <c r="AV33" s="1">
        <v>1</v>
      </c>
      <c r="AW33" s="1">
        <v>0.6</v>
      </c>
      <c r="AX33" s="1">
        <v>0.1</v>
      </c>
    </row>
    <row r="34" spans="2:50">
      <c r="B34" t="str">
        <f t="shared" si="0"/>
        <v>ID/OD(mm): 5/19, C/C0(kN): 2.34/0.95</v>
      </c>
      <c r="C34" s="101">
        <v>5</v>
      </c>
      <c r="D34" s="101">
        <v>19</v>
      </c>
      <c r="E34" s="101">
        <v>6</v>
      </c>
      <c r="F34" s="93">
        <v>2.34</v>
      </c>
      <c r="G34" s="101">
        <v>0.95</v>
      </c>
      <c r="H34" s="101">
        <v>0.04</v>
      </c>
      <c r="I34" s="101">
        <v>80000</v>
      </c>
      <c r="J34" s="101">
        <v>50000</v>
      </c>
      <c r="K34" s="1">
        <v>8.5000000000000006E-3</v>
      </c>
      <c r="L34" s="1" t="s">
        <v>762</v>
      </c>
      <c r="N34" s="1">
        <v>8.4</v>
      </c>
      <c r="O34" s="1">
        <v>12</v>
      </c>
      <c r="P34" s="1">
        <v>13.3</v>
      </c>
      <c r="Q34" s="1">
        <v>0.3</v>
      </c>
      <c r="R34" s="1">
        <v>7.4</v>
      </c>
      <c r="S34" s="1">
        <v>13.6</v>
      </c>
      <c r="T34" s="1">
        <v>0.3</v>
      </c>
      <c r="U34" s="1">
        <v>2.5000000000000001E-2</v>
      </c>
      <c r="V34" s="1">
        <v>8.4</v>
      </c>
      <c r="Y34" t="s">
        <v>763</v>
      </c>
      <c r="Z34" s="1">
        <v>35</v>
      </c>
      <c r="AA34" s="1">
        <v>72</v>
      </c>
      <c r="AB34" s="1">
        <v>17</v>
      </c>
      <c r="AC34" s="1">
        <v>56</v>
      </c>
      <c r="AD34" s="1">
        <v>48</v>
      </c>
      <c r="AE34" s="1">
        <v>6.1</v>
      </c>
      <c r="AF34" s="1">
        <v>11000</v>
      </c>
      <c r="AG34" s="1">
        <v>12000</v>
      </c>
      <c r="AH34" s="1">
        <v>0.28999999999999998</v>
      </c>
      <c r="AI34" s="1" t="s">
        <v>764</v>
      </c>
      <c r="AJ34" s="1"/>
      <c r="AK34" s="1"/>
      <c r="AL34" s="1">
        <v>48.1</v>
      </c>
      <c r="AM34" s="1">
        <v>60.7</v>
      </c>
      <c r="AN34" s="1">
        <v>44</v>
      </c>
      <c r="AO34" s="1">
        <v>1.1000000000000001</v>
      </c>
      <c r="AP34" s="1">
        <v>0.6</v>
      </c>
      <c r="AQ34" s="1">
        <v>1.3</v>
      </c>
      <c r="AR34" s="1">
        <v>39.799999999999997</v>
      </c>
      <c r="AS34" s="1">
        <v>42.2</v>
      </c>
      <c r="AT34" s="1">
        <v>46</v>
      </c>
      <c r="AU34" s="1">
        <v>65.099999999999994</v>
      </c>
      <c r="AV34" s="1">
        <v>1</v>
      </c>
      <c r="AW34" s="1">
        <v>0.6</v>
      </c>
      <c r="AX34" s="1">
        <v>0.15</v>
      </c>
    </row>
    <row r="35" spans="2:50">
      <c r="B35" t="str">
        <f t="shared" si="0"/>
        <v>ID/OD(mm): 6/19, C/C0(kN): 2.34/0.95</v>
      </c>
      <c r="C35" s="101">
        <v>6</v>
      </c>
      <c r="D35" s="101">
        <v>19</v>
      </c>
      <c r="E35" s="101">
        <v>6</v>
      </c>
      <c r="F35" s="93">
        <v>2.34</v>
      </c>
      <c r="G35" s="101">
        <v>0.95</v>
      </c>
      <c r="H35" s="101">
        <v>0.04</v>
      </c>
      <c r="I35" s="101">
        <v>80000</v>
      </c>
      <c r="J35" s="101">
        <v>50000</v>
      </c>
      <c r="K35" s="1">
        <v>8.0999999999999996E-3</v>
      </c>
      <c r="L35" s="1" t="s">
        <v>765</v>
      </c>
      <c r="N35" s="1">
        <v>8.1999999999999993</v>
      </c>
      <c r="O35" s="1">
        <v>11.7</v>
      </c>
      <c r="P35" s="1">
        <v>13</v>
      </c>
      <c r="Q35" s="1">
        <v>0.2</v>
      </c>
      <c r="R35" s="1">
        <v>7.4</v>
      </c>
      <c r="S35" s="1">
        <v>13.6</v>
      </c>
      <c r="T35" s="1">
        <v>0.2</v>
      </c>
      <c r="U35" s="1">
        <v>0.02</v>
      </c>
      <c r="V35" s="1">
        <v>6.8</v>
      </c>
      <c r="Y35" t="s">
        <v>766</v>
      </c>
      <c r="Z35" s="1">
        <v>35</v>
      </c>
      <c r="AA35" s="1">
        <v>72</v>
      </c>
      <c r="AB35" s="1">
        <v>23</v>
      </c>
      <c r="AC35" s="1">
        <v>69.5</v>
      </c>
      <c r="AD35" s="1">
        <v>63</v>
      </c>
      <c r="AE35" s="1">
        <v>8.15</v>
      </c>
      <c r="AF35" s="1">
        <v>11000</v>
      </c>
      <c r="AG35" s="1">
        <v>12000</v>
      </c>
      <c r="AH35" s="1">
        <v>0.4</v>
      </c>
      <c r="AI35" s="1" t="s">
        <v>767</v>
      </c>
      <c r="AJ35" s="1"/>
      <c r="AK35" s="1"/>
      <c r="AL35" s="1" t="s">
        <v>704</v>
      </c>
      <c r="AM35" s="1">
        <v>60.7</v>
      </c>
      <c r="AN35" s="1">
        <v>44</v>
      </c>
      <c r="AO35" s="1">
        <v>1.1000000000000001</v>
      </c>
      <c r="AP35" s="1">
        <v>0.6</v>
      </c>
      <c r="AQ35" s="1">
        <v>2.8</v>
      </c>
      <c r="AR35" s="1">
        <v>39.799999999999997</v>
      </c>
      <c r="AS35" s="1">
        <v>42.2</v>
      </c>
      <c r="AT35" s="1">
        <v>46</v>
      </c>
      <c r="AU35" s="1">
        <v>65.099999999999994</v>
      </c>
      <c r="AV35" s="1">
        <v>1</v>
      </c>
      <c r="AW35" s="1">
        <v>0.6</v>
      </c>
      <c r="AX35" s="1">
        <v>0.2</v>
      </c>
    </row>
    <row r="36" spans="2:50">
      <c r="B36" t="str">
        <f t="shared" si="0"/>
        <v>ID/OD(mm): 7/19, C/C0(kN): 2.34/0.95</v>
      </c>
      <c r="C36" s="101">
        <v>7</v>
      </c>
      <c r="D36" s="101">
        <v>19</v>
      </c>
      <c r="E36" s="101">
        <v>6</v>
      </c>
      <c r="F36" s="93">
        <v>2.34</v>
      </c>
      <c r="G36" s="101">
        <v>0.95</v>
      </c>
      <c r="H36" s="101">
        <v>0.04</v>
      </c>
      <c r="I36" s="101">
        <v>85000</v>
      </c>
      <c r="J36" s="101">
        <v>53000</v>
      </c>
      <c r="K36" s="1">
        <v>7.6E-3</v>
      </c>
      <c r="L36" s="1" t="s">
        <v>768</v>
      </c>
      <c r="N36" s="1">
        <v>10.4</v>
      </c>
      <c r="O36" s="1">
        <v>13.6</v>
      </c>
      <c r="P36" s="1">
        <v>14.3</v>
      </c>
      <c r="Q36" s="1">
        <v>0.3</v>
      </c>
      <c r="R36" s="1">
        <v>9</v>
      </c>
      <c r="S36" s="1">
        <v>15</v>
      </c>
      <c r="T36" s="1">
        <v>0.3</v>
      </c>
      <c r="U36" s="1">
        <v>0.02</v>
      </c>
      <c r="V36" s="1">
        <v>7.3</v>
      </c>
      <c r="Y36" t="s">
        <v>766</v>
      </c>
      <c r="Z36" s="1">
        <v>35</v>
      </c>
      <c r="AA36" s="1">
        <v>72</v>
      </c>
      <c r="AB36" s="1">
        <v>23</v>
      </c>
      <c r="AC36" s="1">
        <v>69.5</v>
      </c>
      <c r="AD36" s="1">
        <v>63</v>
      </c>
      <c r="AE36" s="1">
        <v>8.15</v>
      </c>
      <c r="AF36" s="1">
        <v>11000</v>
      </c>
      <c r="AG36" s="1">
        <v>12000</v>
      </c>
      <c r="AH36" s="1">
        <v>0.42</v>
      </c>
      <c r="AI36" s="1" t="s">
        <v>769</v>
      </c>
      <c r="AJ36" s="1"/>
      <c r="AK36" s="1"/>
      <c r="AL36" s="1">
        <v>48.1</v>
      </c>
      <c r="AM36" s="1">
        <v>60.7</v>
      </c>
      <c r="AN36" s="1">
        <v>44</v>
      </c>
      <c r="AO36" s="1">
        <v>1.1000000000000001</v>
      </c>
      <c r="AP36" s="1">
        <v>0.6</v>
      </c>
      <c r="AQ36" s="1" t="s">
        <v>704</v>
      </c>
      <c r="AR36" s="1">
        <v>41.8</v>
      </c>
      <c r="AS36" s="1" t="s">
        <v>704</v>
      </c>
      <c r="AT36" s="1">
        <v>50</v>
      </c>
      <c r="AU36" s="1">
        <v>65.099999999999994</v>
      </c>
      <c r="AV36" s="1">
        <v>1</v>
      </c>
      <c r="AW36" s="1">
        <v>0.6</v>
      </c>
      <c r="AX36" s="1">
        <v>0.2</v>
      </c>
    </row>
    <row r="37" spans="2:50">
      <c r="B37" t="str">
        <f t="shared" si="0"/>
        <v>ID/OD(mm): 9/20, C/C0(kN): 2.34/0.98</v>
      </c>
      <c r="C37" s="101">
        <v>9</v>
      </c>
      <c r="D37" s="101">
        <v>20</v>
      </c>
      <c r="E37" s="101">
        <v>6</v>
      </c>
      <c r="F37" s="93">
        <v>2.34</v>
      </c>
      <c r="G37" s="101">
        <v>0.98</v>
      </c>
      <c r="H37" s="101">
        <v>4.2999999999999997E-2</v>
      </c>
      <c r="I37" s="101">
        <v>80000</v>
      </c>
      <c r="J37" s="101">
        <v>50000</v>
      </c>
      <c r="K37" s="1">
        <v>7.6E-3</v>
      </c>
      <c r="L37" s="1" t="s">
        <v>770</v>
      </c>
      <c r="M37" s="1">
        <v>9</v>
      </c>
      <c r="N37" s="1">
        <v>11.5</v>
      </c>
      <c r="O37" s="1">
        <v>14.5</v>
      </c>
      <c r="P37" s="1" t="s">
        <v>704</v>
      </c>
      <c r="Q37" s="1">
        <v>0.2</v>
      </c>
      <c r="R37" s="1">
        <v>10.4</v>
      </c>
      <c r="S37" s="1">
        <v>15.6</v>
      </c>
      <c r="T37" s="1">
        <v>0.2</v>
      </c>
      <c r="U37" s="1">
        <v>1.4999999999999999E-2</v>
      </c>
      <c r="V37" s="1">
        <v>7.7</v>
      </c>
      <c r="Y37" t="s">
        <v>771</v>
      </c>
      <c r="Z37" s="1">
        <v>35</v>
      </c>
      <c r="AA37" s="1">
        <v>80</v>
      </c>
      <c r="AB37" s="1">
        <v>21</v>
      </c>
      <c r="AC37" s="1">
        <v>75</v>
      </c>
      <c r="AD37" s="1">
        <v>63</v>
      </c>
      <c r="AE37" s="1">
        <v>8.15</v>
      </c>
      <c r="AF37" s="1">
        <v>9500</v>
      </c>
      <c r="AG37" s="1">
        <v>11000</v>
      </c>
      <c r="AH37" s="1">
        <v>0.47</v>
      </c>
      <c r="AI37" s="1" t="s">
        <v>772</v>
      </c>
      <c r="AJ37" s="1"/>
      <c r="AK37" s="1"/>
      <c r="AL37" s="1">
        <v>51</v>
      </c>
      <c r="AM37" s="1">
        <v>66.3</v>
      </c>
      <c r="AN37" s="1">
        <v>46.2</v>
      </c>
      <c r="AO37" s="1">
        <v>1.5</v>
      </c>
      <c r="AP37" s="1">
        <v>1.1000000000000001</v>
      </c>
      <c r="AQ37" s="1">
        <v>1.2</v>
      </c>
      <c r="AR37" s="1">
        <v>42</v>
      </c>
      <c r="AS37" s="1">
        <v>44</v>
      </c>
      <c r="AT37" s="1">
        <v>48</v>
      </c>
      <c r="AU37" s="1">
        <v>72.2</v>
      </c>
      <c r="AV37" s="1">
        <v>1.5</v>
      </c>
      <c r="AW37" s="1">
        <v>1</v>
      </c>
      <c r="AX37" s="1">
        <v>0.15</v>
      </c>
    </row>
    <row r="38" spans="2:50">
      <c r="B38" t="str">
        <f t="shared" si="0"/>
        <v>ID/OD(mm): 10/22, C/C0(kN): 2.7/1.27</v>
      </c>
      <c r="C38" s="101">
        <v>10</v>
      </c>
      <c r="D38" s="101">
        <v>22</v>
      </c>
      <c r="E38" s="101">
        <v>6</v>
      </c>
      <c r="F38" s="93">
        <v>2.7</v>
      </c>
      <c r="G38" s="101">
        <v>1.27</v>
      </c>
      <c r="H38" s="101">
        <v>5.3999999999999999E-2</v>
      </c>
      <c r="I38" s="101">
        <v>70000</v>
      </c>
      <c r="J38" s="101">
        <v>45000</v>
      </c>
      <c r="K38" s="1">
        <v>0.01</v>
      </c>
      <c r="L38" s="1" t="s">
        <v>773</v>
      </c>
      <c r="M38" s="1">
        <v>10</v>
      </c>
      <c r="N38" s="1">
        <v>12.7</v>
      </c>
      <c r="O38" s="1">
        <v>16.3</v>
      </c>
      <c r="P38" s="1" t="s">
        <v>704</v>
      </c>
      <c r="Q38" s="1">
        <v>0.3</v>
      </c>
      <c r="R38" s="1">
        <v>12</v>
      </c>
      <c r="S38" s="1">
        <v>17</v>
      </c>
      <c r="T38" s="1">
        <v>0.3</v>
      </c>
      <c r="U38" s="1">
        <v>1.4999999999999999E-2</v>
      </c>
      <c r="V38" s="1">
        <v>15</v>
      </c>
      <c r="Y38" t="s">
        <v>774</v>
      </c>
      <c r="Z38" s="1">
        <v>35</v>
      </c>
      <c r="AA38" s="1">
        <v>80</v>
      </c>
      <c r="AB38" s="1">
        <v>31</v>
      </c>
      <c r="AC38" s="1">
        <v>106</v>
      </c>
      <c r="AD38" s="1">
        <v>98</v>
      </c>
      <c r="AE38" s="1">
        <v>12.7</v>
      </c>
      <c r="AF38" s="1">
        <v>9500</v>
      </c>
      <c r="AG38" s="1">
        <v>11000</v>
      </c>
      <c r="AH38" s="1">
        <v>0.72</v>
      </c>
      <c r="AI38" s="1" t="s">
        <v>775</v>
      </c>
      <c r="AJ38" s="1"/>
      <c r="AK38" s="1"/>
      <c r="AL38" s="1" t="s">
        <v>704</v>
      </c>
      <c r="AM38" s="1">
        <v>66.3</v>
      </c>
      <c r="AN38" s="1">
        <v>46.2</v>
      </c>
      <c r="AO38" s="1">
        <v>1.5</v>
      </c>
      <c r="AP38" s="1">
        <v>1.1000000000000001</v>
      </c>
      <c r="AQ38" s="1">
        <v>2.7</v>
      </c>
      <c r="AR38" s="1">
        <v>42</v>
      </c>
      <c r="AS38" s="1">
        <v>44</v>
      </c>
      <c r="AT38" s="1">
        <v>48</v>
      </c>
      <c r="AU38" s="1">
        <v>72.2</v>
      </c>
      <c r="AV38" s="1">
        <v>1.5</v>
      </c>
      <c r="AW38" s="1">
        <v>1</v>
      </c>
      <c r="AX38" s="1">
        <v>0.25</v>
      </c>
    </row>
    <row r="39" spans="2:50">
      <c r="B39" t="str">
        <f t="shared" si="0"/>
        <v>ID/OD(mm): 12/24, C/C0(kN): 2.91/1.46</v>
      </c>
      <c r="C39" s="101">
        <v>12</v>
      </c>
      <c r="D39" s="101">
        <v>24</v>
      </c>
      <c r="E39" s="101">
        <v>6</v>
      </c>
      <c r="F39" s="93">
        <v>2.91</v>
      </c>
      <c r="G39" s="101">
        <v>1.46</v>
      </c>
      <c r="H39" s="101">
        <v>6.2E-2</v>
      </c>
      <c r="I39" s="101">
        <v>67000</v>
      </c>
      <c r="J39" s="101">
        <v>40000</v>
      </c>
      <c r="K39" s="1">
        <v>1.0999999999999999E-2</v>
      </c>
      <c r="L39" s="1" t="s">
        <v>776</v>
      </c>
      <c r="M39" s="1">
        <v>12</v>
      </c>
      <c r="N39" s="1">
        <v>14.8</v>
      </c>
      <c r="O39" s="1">
        <v>18.3</v>
      </c>
      <c r="P39" s="1" t="s">
        <v>704</v>
      </c>
      <c r="Q39" s="1">
        <v>0.3</v>
      </c>
      <c r="R39" s="1">
        <v>14</v>
      </c>
      <c r="S39" s="1">
        <v>19</v>
      </c>
      <c r="T39" s="1">
        <v>0.3</v>
      </c>
      <c r="U39" s="1">
        <v>1.4999999999999999E-2</v>
      </c>
      <c r="V39" s="1">
        <v>13</v>
      </c>
      <c r="Y39" t="s">
        <v>777</v>
      </c>
      <c r="Z39" s="1">
        <v>35</v>
      </c>
      <c r="AA39" s="1">
        <v>100</v>
      </c>
      <c r="AB39" s="1">
        <v>25</v>
      </c>
      <c r="AC39" s="1">
        <v>76.5</v>
      </c>
      <c r="AD39" s="1">
        <v>69.5</v>
      </c>
      <c r="AE39" s="1">
        <v>9</v>
      </c>
      <c r="AF39" s="1">
        <v>8000</v>
      </c>
      <c r="AG39" s="1">
        <v>9500</v>
      </c>
      <c r="AH39" s="1">
        <v>1</v>
      </c>
      <c r="AI39" s="1" t="s">
        <v>778</v>
      </c>
      <c r="AJ39" s="1"/>
      <c r="AK39" s="1"/>
      <c r="AL39" s="1" t="s">
        <v>704</v>
      </c>
      <c r="AM39" s="1">
        <v>76.099999999999994</v>
      </c>
      <c r="AN39" s="1">
        <v>53</v>
      </c>
      <c r="AO39" s="1">
        <v>1.5</v>
      </c>
      <c r="AP39" s="1">
        <v>1.5</v>
      </c>
      <c r="AQ39" s="1">
        <v>1.7</v>
      </c>
      <c r="AR39" s="1">
        <v>48</v>
      </c>
      <c r="AS39" s="1">
        <v>51</v>
      </c>
      <c r="AT39" s="1">
        <v>55</v>
      </c>
      <c r="AU39" s="1">
        <v>90</v>
      </c>
      <c r="AV39" s="1">
        <v>1.5</v>
      </c>
      <c r="AW39" s="1">
        <v>1.5</v>
      </c>
      <c r="AX39" s="1">
        <v>0.15</v>
      </c>
    </row>
    <row r="40" spans="2:50">
      <c r="B40" t="str">
        <f t="shared" si="0"/>
        <v>ID/OD(mm): 7/22, C/C0(kN): 3.45/1.37</v>
      </c>
      <c r="C40" s="101">
        <v>7</v>
      </c>
      <c r="D40" s="101">
        <v>22</v>
      </c>
      <c r="E40" s="101">
        <v>7</v>
      </c>
      <c r="F40" s="93">
        <v>3.45</v>
      </c>
      <c r="G40" s="101">
        <v>1.37</v>
      </c>
      <c r="H40" s="101">
        <v>5.7000000000000002E-2</v>
      </c>
      <c r="I40" s="101">
        <v>70000</v>
      </c>
      <c r="J40" s="101">
        <v>45000</v>
      </c>
      <c r="K40" s="1">
        <v>1.2E-2</v>
      </c>
      <c r="L40" s="1" t="s">
        <v>779</v>
      </c>
      <c r="N40" s="1">
        <v>11.1</v>
      </c>
      <c r="O40" s="1">
        <v>15.2</v>
      </c>
      <c r="P40" s="1">
        <v>16.5</v>
      </c>
      <c r="Q40" s="1">
        <v>0.3</v>
      </c>
      <c r="R40" s="1">
        <v>9</v>
      </c>
      <c r="S40" s="1">
        <v>17</v>
      </c>
      <c r="T40" s="1">
        <v>0.3</v>
      </c>
      <c r="U40" s="1">
        <v>2.5000000000000001E-2</v>
      </c>
      <c r="V40" s="1">
        <v>13</v>
      </c>
      <c r="Y40" t="s">
        <v>780</v>
      </c>
      <c r="Z40" s="1">
        <v>40</v>
      </c>
      <c r="AA40" s="1">
        <v>68</v>
      </c>
      <c r="AB40" s="1">
        <v>15</v>
      </c>
      <c r="AC40" s="1">
        <v>25.1</v>
      </c>
      <c r="AD40" s="1">
        <v>26</v>
      </c>
      <c r="AE40" s="1">
        <v>3</v>
      </c>
      <c r="AF40" s="1">
        <v>12000</v>
      </c>
      <c r="AG40" s="1">
        <v>18000</v>
      </c>
      <c r="AH40" s="1">
        <v>0.23</v>
      </c>
      <c r="AI40" s="1" t="s">
        <v>781</v>
      </c>
      <c r="AJ40" s="1"/>
      <c r="AK40" s="1">
        <v>40</v>
      </c>
      <c r="AL40" s="1" t="s">
        <v>704</v>
      </c>
      <c r="AM40" s="1">
        <v>57.6</v>
      </c>
      <c r="AN40" s="1">
        <v>47</v>
      </c>
      <c r="AO40" s="1">
        <v>1</v>
      </c>
      <c r="AP40" s="1">
        <v>0.6</v>
      </c>
      <c r="AQ40" s="1">
        <v>2.4</v>
      </c>
      <c r="AR40" s="1">
        <v>43</v>
      </c>
      <c r="AS40" s="1">
        <v>46</v>
      </c>
      <c r="AT40" s="1">
        <v>49</v>
      </c>
      <c r="AU40" s="1">
        <v>62.3</v>
      </c>
      <c r="AV40" s="1">
        <v>1</v>
      </c>
      <c r="AW40" s="1">
        <v>0.6</v>
      </c>
      <c r="AX40" s="1">
        <v>0.15</v>
      </c>
    </row>
    <row r="41" spans="2:50">
      <c r="B41" t="str">
        <f t="shared" si="0"/>
        <v>ID/OD(mm): 8/22, C/C0(kN): 3.45/1.37</v>
      </c>
      <c r="C41" s="101">
        <v>8</v>
      </c>
      <c r="D41" s="101">
        <v>22</v>
      </c>
      <c r="E41" s="101">
        <v>7</v>
      </c>
      <c r="F41" s="93">
        <v>3.45</v>
      </c>
      <c r="G41" s="101">
        <v>1.37</v>
      </c>
      <c r="H41" s="101">
        <v>5.7000000000000002E-2</v>
      </c>
      <c r="I41" s="101">
        <v>75000</v>
      </c>
      <c r="J41" s="101">
        <v>48000</v>
      </c>
      <c r="K41" s="1">
        <v>1.2E-2</v>
      </c>
      <c r="L41" s="1" t="s">
        <v>782</v>
      </c>
      <c r="N41" s="1">
        <v>10.5</v>
      </c>
      <c r="O41" s="1">
        <v>15.5</v>
      </c>
      <c r="P41" s="1">
        <v>16.7</v>
      </c>
      <c r="Q41" s="1">
        <v>0.3</v>
      </c>
      <c r="R41" s="1">
        <v>10</v>
      </c>
      <c r="S41" s="1">
        <v>17</v>
      </c>
      <c r="T41" s="1">
        <v>0.3</v>
      </c>
      <c r="U41" s="1">
        <v>0.02</v>
      </c>
      <c r="V41" s="1">
        <v>6.6</v>
      </c>
      <c r="Y41" t="s">
        <v>783</v>
      </c>
      <c r="Z41" s="1">
        <v>40</v>
      </c>
      <c r="AA41" s="1">
        <v>80</v>
      </c>
      <c r="AB41" s="1">
        <v>18</v>
      </c>
      <c r="AC41" s="1">
        <v>62</v>
      </c>
      <c r="AD41" s="1">
        <v>53</v>
      </c>
      <c r="AE41" s="1">
        <v>6.7</v>
      </c>
      <c r="AF41" s="1">
        <v>9500</v>
      </c>
      <c r="AG41" s="1">
        <v>11000</v>
      </c>
      <c r="AH41" s="1">
        <v>0.37</v>
      </c>
      <c r="AI41" s="1" t="s">
        <v>784</v>
      </c>
      <c r="AJ41" s="1"/>
      <c r="AK41" s="1"/>
      <c r="AL41" s="1">
        <v>54</v>
      </c>
      <c r="AM41" s="1">
        <v>67.900000000000006</v>
      </c>
      <c r="AN41" s="1">
        <v>49.5</v>
      </c>
      <c r="AO41" s="1">
        <v>1.1000000000000001</v>
      </c>
      <c r="AP41" s="1">
        <v>1.1000000000000001</v>
      </c>
      <c r="AQ41" s="1">
        <v>1.4</v>
      </c>
      <c r="AR41" s="1">
        <v>47</v>
      </c>
      <c r="AS41" s="1">
        <v>48</v>
      </c>
      <c r="AT41" s="1">
        <v>51</v>
      </c>
      <c r="AU41" s="1">
        <v>72.8</v>
      </c>
      <c r="AV41" s="1">
        <v>1</v>
      </c>
      <c r="AW41" s="1">
        <v>1</v>
      </c>
      <c r="AX41" s="1">
        <v>0.15</v>
      </c>
    </row>
    <row r="42" spans="2:50">
      <c r="B42" t="str">
        <f t="shared" si="0"/>
        <v>ID/OD(mm): 9/24, C/C0(kN): 3.9/1.66</v>
      </c>
      <c r="C42" s="101">
        <v>9</v>
      </c>
      <c r="D42" s="101">
        <v>24</v>
      </c>
      <c r="E42" s="101">
        <v>7</v>
      </c>
      <c r="F42" s="93">
        <v>3.9</v>
      </c>
      <c r="G42" s="101">
        <v>1.66</v>
      </c>
      <c r="H42" s="101">
        <v>7.0999999999999994E-2</v>
      </c>
      <c r="I42" s="101">
        <v>70000</v>
      </c>
      <c r="J42" s="101">
        <v>43000</v>
      </c>
      <c r="K42" s="1">
        <v>1.4E-2</v>
      </c>
      <c r="L42" s="1" t="s">
        <v>785</v>
      </c>
      <c r="N42" s="1">
        <v>11.6</v>
      </c>
      <c r="O42" s="1">
        <v>16.2</v>
      </c>
      <c r="P42" s="1">
        <v>17.5</v>
      </c>
      <c r="Q42" s="1">
        <v>0.3</v>
      </c>
      <c r="R42" s="1">
        <v>11</v>
      </c>
      <c r="S42" s="1">
        <v>18</v>
      </c>
      <c r="T42" s="1">
        <v>0.3</v>
      </c>
      <c r="U42" s="1">
        <v>0.02</v>
      </c>
      <c r="V42" s="1">
        <v>12</v>
      </c>
      <c r="Y42" t="s">
        <v>786</v>
      </c>
      <c r="Z42" s="1">
        <v>40</v>
      </c>
      <c r="AA42" s="1">
        <v>80</v>
      </c>
      <c r="AB42" s="1">
        <v>23</v>
      </c>
      <c r="AC42" s="1">
        <v>81.5</v>
      </c>
      <c r="AD42" s="1">
        <v>75</v>
      </c>
      <c r="AE42" s="1">
        <v>9.65</v>
      </c>
      <c r="AF42" s="1">
        <v>9500</v>
      </c>
      <c r="AG42" s="1">
        <v>11000</v>
      </c>
      <c r="AH42" s="1">
        <v>0.49</v>
      </c>
      <c r="AI42" s="1" t="s">
        <v>787</v>
      </c>
      <c r="AJ42" s="1"/>
      <c r="AK42" s="1"/>
      <c r="AL42" s="1">
        <v>54</v>
      </c>
      <c r="AM42" s="1">
        <v>67.900000000000006</v>
      </c>
      <c r="AN42" s="1">
        <v>49.5</v>
      </c>
      <c r="AO42" s="1">
        <v>1.1000000000000001</v>
      </c>
      <c r="AP42" s="1">
        <v>1.1000000000000001</v>
      </c>
      <c r="AQ42" s="1">
        <v>1.9</v>
      </c>
      <c r="AR42" s="1">
        <v>47</v>
      </c>
      <c r="AS42" s="1">
        <v>48</v>
      </c>
      <c r="AT42" s="1">
        <v>51</v>
      </c>
      <c r="AU42" s="1">
        <v>72.8</v>
      </c>
      <c r="AV42" s="1">
        <v>1</v>
      </c>
      <c r="AW42" s="1">
        <v>1</v>
      </c>
      <c r="AX42" s="1">
        <v>0.2</v>
      </c>
    </row>
    <row r="43" spans="2:50">
      <c r="B43" t="str">
        <f t="shared" si="0"/>
        <v>ID/OD(mm): 8/24, C/C0(kN): 3.9/1.66</v>
      </c>
      <c r="C43" s="101">
        <v>8</v>
      </c>
      <c r="D43" s="101">
        <v>24</v>
      </c>
      <c r="E43" s="101">
        <v>8</v>
      </c>
      <c r="F43" s="93">
        <v>3.9</v>
      </c>
      <c r="G43" s="101">
        <v>1.66</v>
      </c>
      <c r="H43" s="101">
        <v>7.0999999999999994E-2</v>
      </c>
      <c r="I43" s="101">
        <v>63000</v>
      </c>
      <c r="J43" s="101">
        <v>40000</v>
      </c>
      <c r="K43" s="1">
        <v>1.7999999999999999E-2</v>
      </c>
      <c r="L43" s="1" t="s">
        <v>788</v>
      </c>
      <c r="N43" s="1">
        <v>12.1</v>
      </c>
      <c r="O43" s="1">
        <v>17.600000000000001</v>
      </c>
      <c r="P43" s="1">
        <v>19.2</v>
      </c>
      <c r="Q43" s="1">
        <v>0.3</v>
      </c>
      <c r="R43" s="1">
        <v>10</v>
      </c>
      <c r="S43" s="1">
        <v>20</v>
      </c>
      <c r="T43" s="1">
        <v>0.3</v>
      </c>
      <c r="U43" s="1">
        <v>2.5000000000000001E-2</v>
      </c>
      <c r="V43" s="1">
        <v>12</v>
      </c>
      <c r="Y43" t="s">
        <v>789</v>
      </c>
      <c r="Z43" s="1">
        <v>40</v>
      </c>
      <c r="AA43" s="1">
        <v>90</v>
      </c>
      <c r="AB43" s="1">
        <v>23</v>
      </c>
      <c r="AC43" s="1">
        <v>93</v>
      </c>
      <c r="AD43" s="1">
        <v>78</v>
      </c>
      <c r="AE43" s="1">
        <v>10.199999999999999</v>
      </c>
      <c r="AF43" s="1">
        <v>8000</v>
      </c>
      <c r="AG43" s="1">
        <v>9500</v>
      </c>
      <c r="AH43" s="1">
        <v>0.65</v>
      </c>
      <c r="AI43" s="1" t="s">
        <v>790</v>
      </c>
      <c r="AJ43" s="1"/>
      <c r="AK43" s="1"/>
      <c r="AL43" s="1">
        <v>57.5</v>
      </c>
      <c r="AM43" s="1">
        <v>75.599999999999994</v>
      </c>
      <c r="AN43" s="1">
        <v>52</v>
      </c>
      <c r="AO43" s="1">
        <v>1.5</v>
      </c>
      <c r="AP43" s="1">
        <v>1.5</v>
      </c>
      <c r="AQ43" s="1">
        <v>1.4</v>
      </c>
      <c r="AR43" s="1">
        <v>48</v>
      </c>
      <c r="AS43" s="1">
        <v>50</v>
      </c>
      <c r="AT43" s="1">
        <v>54</v>
      </c>
      <c r="AU43" s="1">
        <v>81.8</v>
      </c>
      <c r="AV43" s="1">
        <v>1.5</v>
      </c>
      <c r="AW43" s="1">
        <v>1.5</v>
      </c>
      <c r="AX43" s="1">
        <v>0.15</v>
      </c>
    </row>
    <row r="44" spans="2:50">
      <c r="B44" t="str">
        <f t="shared" si="0"/>
        <v>ID/OD(mm): 20/32, C/C0(kN): 4.03/2.32</v>
      </c>
      <c r="C44" s="101">
        <v>20</v>
      </c>
      <c r="D44" s="101">
        <v>32</v>
      </c>
      <c r="E44" s="101">
        <v>7</v>
      </c>
      <c r="F44" s="93">
        <v>4.03</v>
      </c>
      <c r="G44" s="101">
        <v>2.3199999999999998</v>
      </c>
      <c r="H44" s="101">
        <v>0.104</v>
      </c>
      <c r="I44" s="101">
        <v>45000</v>
      </c>
      <c r="J44" s="101">
        <v>28000</v>
      </c>
      <c r="K44" s="1">
        <v>1.7999999999999999E-2</v>
      </c>
      <c r="L44" s="1" t="s">
        <v>791</v>
      </c>
      <c r="N44" s="1">
        <v>32.4</v>
      </c>
      <c r="O44" s="1">
        <v>46.6</v>
      </c>
      <c r="P44" s="1">
        <v>48.7</v>
      </c>
      <c r="Q44" s="1">
        <v>1.1000000000000001</v>
      </c>
      <c r="R44" s="1">
        <v>23.5</v>
      </c>
      <c r="S44" s="1">
        <v>55.5</v>
      </c>
      <c r="T44" s="1">
        <v>1</v>
      </c>
      <c r="U44" s="1">
        <v>3.5000000000000003E-2</v>
      </c>
      <c r="V44" s="1">
        <v>11</v>
      </c>
      <c r="Y44" t="s">
        <v>792</v>
      </c>
      <c r="Z44" s="1">
        <v>40</v>
      </c>
      <c r="AA44" s="1">
        <v>90</v>
      </c>
      <c r="AB44" s="1">
        <v>33</v>
      </c>
      <c r="AC44" s="1">
        <v>129</v>
      </c>
      <c r="AD44" s="1">
        <v>120</v>
      </c>
      <c r="AE44" s="1">
        <v>15.3</v>
      </c>
      <c r="AF44" s="1">
        <v>8000</v>
      </c>
      <c r="AG44" s="1">
        <v>9500</v>
      </c>
      <c r="AH44" s="1">
        <v>0.94</v>
      </c>
      <c r="AI44" s="1" t="s">
        <v>793</v>
      </c>
      <c r="AJ44" s="1"/>
      <c r="AK44" s="1"/>
      <c r="AL44" s="1" t="s">
        <v>704</v>
      </c>
      <c r="AM44" s="1">
        <v>75.599999999999994</v>
      </c>
      <c r="AN44" s="1">
        <v>52</v>
      </c>
      <c r="AO44" s="1">
        <v>1.5</v>
      </c>
      <c r="AP44" s="1">
        <v>1.5</v>
      </c>
      <c r="AQ44" s="1">
        <v>2.9</v>
      </c>
      <c r="AR44" s="1">
        <v>48</v>
      </c>
      <c r="AS44" s="1">
        <v>50</v>
      </c>
      <c r="AT44" s="1">
        <v>54</v>
      </c>
      <c r="AU44" s="1">
        <v>81.8</v>
      </c>
      <c r="AV44" s="1">
        <v>1.5</v>
      </c>
      <c r="AW44" s="1">
        <v>1.5</v>
      </c>
      <c r="AX44" s="1">
        <v>0.25</v>
      </c>
    </row>
    <row r="45" spans="2:50">
      <c r="B45" t="str">
        <f t="shared" si="0"/>
        <v>ID/OD(mm): 15/28, C/C0(kN): 4.36/2.24</v>
      </c>
      <c r="C45" s="101">
        <v>15</v>
      </c>
      <c r="D45" s="101">
        <v>28</v>
      </c>
      <c r="E45" s="101">
        <v>7</v>
      </c>
      <c r="F45" s="93">
        <v>4.3600000000000003</v>
      </c>
      <c r="G45" s="101">
        <v>2.2400000000000002</v>
      </c>
      <c r="H45" s="101">
        <v>9.5000000000000001E-2</v>
      </c>
      <c r="I45" s="101">
        <v>56000</v>
      </c>
      <c r="J45" s="101">
        <v>34000</v>
      </c>
      <c r="K45" s="1">
        <v>1.6E-2</v>
      </c>
      <c r="L45" s="1" t="s">
        <v>794</v>
      </c>
      <c r="M45" s="1">
        <v>15</v>
      </c>
      <c r="N45" s="1">
        <v>17.8</v>
      </c>
      <c r="O45" s="1">
        <v>21.3</v>
      </c>
      <c r="P45" s="1" t="s">
        <v>704</v>
      </c>
      <c r="Q45" s="1">
        <v>0.3</v>
      </c>
      <c r="R45" s="1">
        <v>17</v>
      </c>
      <c r="S45" s="1">
        <v>22</v>
      </c>
      <c r="T45" s="1">
        <v>0.3</v>
      </c>
      <c r="U45" s="1">
        <v>1.4999999999999999E-2</v>
      </c>
      <c r="V45" s="1">
        <v>14</v>
      </c>
      <c r="Y45" t="s">
        <v>795</v>
      </c>
      <c r="Z45" s="1">
        <v>40</v>
      </c>
      <c r="AA45" s="1">
        <v>110</v>
      </c>
      <c r="AB45" s="1">
        <v>27</v>
      </c>
      <c r="AC45" s="1">
        <v>96.8</v>
      </c>
      <c r="AD45" s="1">
        <v>90</v>
      </c>
      <c r="AE45" s="1">
        <v>11.6</v>
      </c>
      <c r="AF45" s="1">
        <v>7000</v>
      </c>
      <c r="AG45" s="1">
        <v>8500</v>
      </c>
      <c r="AH45" s="1">
        <v>1.3</v>
      </c>
      <c r="AI45" s="1" t="s">
        <v>796</v>
      </c>
      <c r="AJ45" s="1"/>
      <c r="AK45" s="1"/>
      <c r="AL45" s="1" t="s">
        <v>704</v>
      </c>
      <c r="AM45" s="1">
        <v>84.2</v>
      </c>
      <c r="AN45" s="1">
        <v>58</v>
      </c>
      <c r="AO45" s="1">
        <v>2</v>
      </c>
      <c r="AP45" s="1">
        <v>2</v>
      </c>
      <c r="AQ45" s="1">
        <v>2.5</v>
      </c>
      <c r="AR45" s="1">
        <v>52</v>
      </c>
      <c r="AS45" s="1">
        <v>56</v>
      </c>
      <c r="AT45" s="1">
        <v>60</v>
      </c>
      <c r="AU45" s="1">
        <v>99</v>
      </c>
      <c r="AV45" s="1">
        <v>2</v>
      </c>
      <c r="AW45" s="1">
        <v>2</v>
      </c>
      <c r="AX45" s="1">
        <v>0.15</v>
      </c>
    </row>
    <row r="46" spans="2:50">
      <c r="B46" t="str">
        <f t="shared" si="0"/>
        <v>ID/OD(mm): 25/37, C/C0(kN): 4.36/2.6</v>
      </c>
      <c r="C46" s="101">
        <v>25</v>
      </c>
      <c r="D46" s="101">
        <v>37</v>
      </c>
      <c r="E46" s="101">
        <v>7</v>
      </c>
      <c r="F46" s="93">
        <v>4.3600000000000003</v>
      </c>
      <c r="G46" s="101">
        <v>2.6</v>
      </c>
      <c r="H46" s="101">
        <v>0.125</v>
      </c>
      <c r="I46" s="101">
        <v>38000</v>
      </c>
      <c r="J46" s="101">
        <v>24000</v>
      </c>
      <c r="K46" s="1">
        <v>2.1999999999999999E-2</v>
      </c>
      <c r="L46" s="1" t="s">
        <v>797</v>
      </c>
      <c r="N46" s="1">
        <v>32.9</v>
      </c>
      <c r="O46" s="1">
        <v>45.3</v>
      </c>
      <c r="P46" s="1" t="s">
        <v>704</v>
      </c>
      <c r="Q46" s="1">
        <v>1.1000000000000001</v>
      </c>
      <c r="R46" s="1">
        <v>29</v>
      </c>
      <c r="S46" s="1">
        <v>47</v>
      </c>
      <c r="T46" s="1">
        <v>1</v>
      </c>
      <c r="U46" s="1">
        <v>0.03</v>
      </c>
      <c r="V46" s="1">
        <v>12</v>
      </c>
      <c r="Y46" t="s">
        <v>798</v>
      </c>
      <c r="Z46" s="1">
        <v>45</v>
      </c>
      <c r="AA46" s="1">
        <v>75</v>
      </c>
      <c r="AB46" s="1">
        <v>16</v>
      </c>
      <c r="AC46" s="1">
        <v>44.6</v>
      </c>
      <c r="AD46" s="1">
        <v>52</v>
      </c>
      <c r="AE46" s="1">
        <v>6.3</v>
      </c>
      <c r="AF46" s="1">
        <v>11000</v>
      </c>
      <c r="AG46" s="1">
        <v>11000</v>
      </c>
      <c r="AH46" s="1">
        <v>0.25</v>
      </c>
      <c r="AI46" s="1" t="s">
        <v>799</v>
      </c>
      <c r="AJ46" s="1"/>
      <c r="AK46" s="1">
        <v>45</v>
      </c>
      <c r="AL46" s="1" t="s">
        <v>704</v>
      </c>
      <c r="AM46" s="1">
        <v>65.3</v>
      </c>
      <c r="AN46" s="1">
        <v>52.5</v>
      </c>
      <c r="AO46" s="1">
        <v>1</v>
      </c>
      <c r="AP46" s="1">
        <v>0.6</v>
      </c>
      <c r="AQ46" s="1">
        <v>0.9</v>
      </c>
      <c r="AR46" s="1">
        <v>48.4</v>
      </c>
      <c r="AS46" s="1">
        <v>51</v>
      </c>
      <c r="AT46" s="1">
        <v>54</v>
      </c>
      <c r="AU46" s="1">
        <v>69.8</v>
      </c>
      <c r="AV46" s="1">
        <v>1</v>
      </c>
      <c r="AW46" s="1">
        <v>0.6</v>
      </c>
      <c r="AX46" s="1">
        <v>0.1</v>
      </c>
    </row>
    <row r="47" spans="2:50">
      <c r="B47" t="str">
        <f t="shared" si="0"/>
        <v>ID/OD(mm): 35/47, C/C0(kN): 4.36/3.35</v>
      </c>
      <c r="C47" s="101">
        <v>35</v>
      </c>
      <c r="D47" s="101">
        <v>47</v>
      </c>
      <c r="E47" s="101">
        <v>7</v>
      </c>
      <c r="F47" s="93">
        <v>4.3600000000000003</v>
      </c>
      <c r="G47" s="101">
        <v>3.35</v>
      </c>
      <c r="H47" s="101">
        <v>0.14000000000000001</v>
      </c>
      <c r="I47" s="101">
        <v>30000</v>
      </c>
      <c r="J47" s="101">
        <v>18000</v>
      </c>
      <c r="K47" s="1">
        <v>2.9000000000000001E-2</v>
      </c>
      <c r="L47" s="1" t="s">
        <v>800</v>
      </c>
      <c r="N47" s="1">
        <v>50.3</v>
      </c>
      <c r="O47" s="1">
        <v>69.7</v>
      </c>
      <c r="P47" s="1" t="s">
        <v>704</v>
      </c>
      <c r="Q47" s="1">
        <v>1.5</v>
      </c>
      <c r="R47" s="1">
        <v>41</v>
      </c>
      <c r="S47" s="1">
        <v>79</v>
      </c>
      <c r="T47" s="1">
        <v>1.5</v>
      </c>
      <c r="U47" s="1">
        <v>3.5000000000000003E-2</v>
      </c>
      <c r="V47" s="1">
        <v>12</v>
      </c>
      <c r="Y47" t="s">
        <v>801</v>
      </c>
      <c r="Z47" s="1">
        <v>45</v>
      </c>
      <c r="AA47" s="1">
        <v>85</v>
      </c>
      <c r="AB47" s="1">
        <v>19</v>
      </c>
      <c r="AC47" s="1">
        <v>69.5</v>
      </c>
      <c r="AD47" s="1">
        <v>64</v>
      </c>
      <c r="AE47" s="1">
        <v>8.15</v>
      </c>
      <c r="AF47" s="1">
        <v>9000</v>
      </c>
      <c r="AG47" s="1">
        <v>9500</v>
      </c>
      <c r="AH47" s="1">
        <v>0.43</v>
      </c>
      <c r="AI47" s="1" t="s">
        <v>802</v>
      </c>
      <c r="AJ47" s="1"/>
      <c r="AK47" s="1"/>
      <c r="AL47" s="1">
        <v>59</v>
      </c>
      <c r="AM47" s="1">
        <v>73</v>
      </c>
      <c r="AN47" s="1">
        <v>54.5</v>
      </c>
      <c r="AO47" s="1">
        <v>1.1000000000000001</v>
      </c>
      <c r="AP47" s="1">
        <v>1.1000000000000001</v>
      </c>
      <c r="AQ47" s="1">
        <v>1.2</v>
      </c>
      <c r="AR47" s="1">
        <v>52</v>
      </c>
      <c r="AS47" s="1">
        <v>53</v>
      </c>
      <c r="AT47" s="1">
        <v>56</v>
      </c>
      <c r="AU47" s="1">
        <v>77.599999999999994</v>
      </c>
      <c r="AV47" s="1">
        <v>1</v>
      </c>
      <c r="AW47" s="1">
        <v>1</v>
      </c>
      <c r="AX47" s="1">
        <v>0.15</v>
      </c>
    </row>
    <row r="48" spans="2:50">
      <c r="B48" t="str">
        <f t="shared" si="0"/>
        <v>ID/OD(mm): 30/42, C/C0(kN): 4.49/2.9</v>
      </c>
      <c r="C48" s="101">
        <v>30</v>
      </c>
      <c r="D48" s="101">
        <v>42</v>
      </c>
      <c r="E48" s="101">
        <v>7</v>
      </c>
      <c r="F48" s="93">
        <v>4.49</v>
      </c>
      <c r="G48" s="101">
        <v>2.9</v>
      </c>
      <c r="H48" s="101">
        <v>0.14599999999999999</v>
      </c>
      <c r="I48" s="101">
        <v>32000</v>
      </c>
      <c r="J48" s="101">
        <v>20000</v>
      </c>
      <c r="K48" s="1">
        <v>2.5000000000000001E-2</v>
      </c>
      <c r="L48" s="1" t="s">
        <v>803</v>
      </c>
      <c r="N48" s="1">
        <v>41.7</v>
      </c>
      <c r="O48" s="1">
        <v>55.5</v>
      </c>
      <c r="P48" s="1">
        <v>57.8</v>
      </c>
      <c r="Q48" s="1">
        <v>1.1000000000000001</v>
      </c>
      <c r="R48" s="1">
        <v>35</v>
      </c>
      <c r="S48" s="1">
        <v>61</v>
      </c>
      <c r="T48" s="1">
        <v>1</v>
      </c>
      <c r="U48" s="1">
        <v>0.03</v>
      </c>
      <c r="V48" s="1">
        <v>13</v>
      </c>
      <c r="Y48" t="s">
        <v>804</v>
      </c>
      <c r="Z48" s="1">
        <v>45</v>
      </c>
      <c r="AA48" s="1">
        <v>85</v>
      </c>
      <c r="AB48" s="1">
        <v>23</v>
      </c>
      <c r="AC48" s="1">
        <v>85</v>
      </c>
      <c r="AD48" s="1">
        <v>81.5</v>
      </c>
      <c r="AE48" s="1">
        <v>10.6</v>
      </c>
      <c r="AF48" s="1">
        <v>9000</v>
      </c>
      <c r="AG48" s="1">
        <v>9500</v>
      </c>
      <c r="AH48" s="1">
        <v>0.52</v>
      </c>
      <c r="AI48" s="1" t="s">
        <v>805</v>
      </c>
      <c r="AJ48" s="1"/>
      <c r="AK48" s="1"/>
      <c r="AL48" s="1" t="s">
        <v>704</v>
      </c>
      <c r="AM48" s="1">
        <v>73</v>
      </c>
      <c r="AN48" s="1">
        <v>54.5</v>
      </c>
      <c r="AO48" s="1">
        <v>1.1000000000000001</v>
      </c>
      <c r="AP48" s="1">
        <v>1.1000000000000001</v>
      </c>
      <c r="AQ48" s="1">
        <v>1.7</v>
      </c>
      <c r="AR48" s="1">
        <v>52</v>
      </c>
      <c r="AS48" s="1">
        <v>53</v>
      </c>
      <c r="AT48" s="1">
        <v>56</v>
      </c>
      <c r="AU48" s="1">
        <v>77.599999999999994</v>
      </c>
      <c r="AV48" s="1">
        <v>1</v>
      </c>
      <c r="AW48" s="1">
        <v>1</v>
      </c>
      <c r="AX48" s="1">
        <v>0.2</v>
      </c>
    </row>
    <row r="49" spans="2:50">
      <c r="B49" t="str">
        <f t="shared" si="0"/>
        <v>ID/OD(mm): 40/52, C/C0(kN): 4.49/3.75</v>
      </c>
      <c r="C49" s="101">
        <v>40</v>
      </c>
      <c r="D49" s="101">
        <v>52</v>
      </c>
      <c r="E49" s="101">
        <v>7</v>
      </c>
      <c r="F49" s="93">
        <v>4.49</v>
      </c>
      <c r="G49" s="101">
        <v>3.75</v>
      </c>
      <c r="H49" s="101">
        <v>0.16</v>
      </c>
      <c r="I49" s="101">
        <v>26000</v>
      </c>
      <c r="J49" s="101">
        <v>16000</v>
      </c>
      <c r="K49" s="1">
        <v>3.2000000000000001E-2</v>
      </c>
      <c r="L49" s="1" t="s">
        <v>806</v>
      </c>
      <c r="N49" s="1">
        <v>57.4</v>
      </c>
      <c r="O49" s="1">
        <v>79.599999999999994</v>
      </c>
      <c r="P49" s="1" t="s">
        <v>704</v>
      </c>
      <c r="Q49" s="1">
        <v>1.5</v>
      </c>
      <c r="R49" s="1">
        <v>46</v>
      </c>
      <c r="S49" s="1">
        <v>89</v>
      </c>
      <c r="T49" s="1">
        <v>1.5</v>
      </c>
      <c r="U49" s="1">
        <v>3.5000000000000003E-2</v>
      </c>
      <c r="V49" s="1">
        <v>12</v>
      </c>
      <c r="Y49" t="s">
        <v>807</v>
      </c>
      <c r="Z49" s="1">
        <v>45</v>
      </c>
      <c r="AA49" s="1">
        <v>100</v>
      </c>
      <c r="AB49" s="1">
        <v>25</v>
      </c>
      <c r="AC49" s="1">
        <v>112</v>
      </c>
      <c r="AD49" s="1">
        <v>100</v>
      </c>
      <c r="AE49" s="1">
        <v>12.9</v>
      </c>
      <c r="AF49" s="1">
        <v>7500</v>
      </c>
      <c r="AG49" s="1">
        <v>8500</v>
      </c>
      <c r="AH49" s="1">
        <v>0.9</v>
      </c>
      <c r="AI49" s="1" t="s">
        <v>808</v>
      </c>
      <c r="AJ49" s="1"/>
      <c r="AK49" s="1"/>
      <c r="AL49" s="1">
        <v>64.400000000000006</v>
      </c>
      <c r="AM49" s="1">
        <v>83.8</v>
      </c>
      <c r="AN49" s="1">
        <v>58.5</v>
      </c>
      <c r="AO49" s="1">
        <v>1.5</v>
      </c>
      <c r="AP49" s="1">
        <v>1.5</v>
      </c>
      <c r="AQ49" s="1">
        <v>1.7</v>
      </c>
      <c r="AR49" s="1">
        <v>54</v>
      </c>
      <c r="AS49" s="1">
        <v>56</v>
      </c>
      <c r="AT49" s="1">
        <v>60</v>
      </c>
      <c r="AU49" s="1">
        <v>91.4</v>
      </c>
      <c r="AV49" s="1">
        <v>1.5</v>
      </c>
      <c r="AW49" s="1">
        <v>1.5</v>
      </c>
      <c r="AX49" s="1">
        <v>0.15</v>
      </c>
    </row>
    <row r="50" spans="2:50">
      <c r="B50" t="str">
        <f t="shared" si="0"/>
        <v>ID/OD(mm): 17/30, C/C0(kN): 4.62/2.55</v>
      </c>
      <c r="C50" s="101">
        <v>17</v>
      </c>
      <c r="D50" s="101">
        <v>30</v>
      </c>
      <c r="E50" s="101">
        <v>7</v>
      </c>
      <c r="F50" s="93">
        <v>4.62</v>
      </c>
      <c r="G50" s="101">
        <v>2.5499999999999998</v>
      </c>
      <c r="H50" s="101">
        <v>0.108</v>
      </c>
      <c r="I50" s="101">
        <v>50000</v>
      </c>
      <c r="J50" s="101">
        <v>32000</v>
      </c>
      <c r="K50" s="1">
        <v>1.6E-2</v>
      </c>
      <c r="L50" s="1" t="s">
        <v>809</v>
      </c>
      <c r="M50" s="1">
        <v>17</v>
      </c>
      <c r="N50" s="1">
        <v>19.8</v>
      </c>
      <c r="O50" s="1">
        <v>23.3</v>
      </c>
      <c r="P50" s="1" t="s">
        <v>704</v>
      </c>
      <c r="Q50" s="1">
        <v>0.3</v>
      </c>
      <c r="R50" s="1">
        <v>19</v>
      </c>
      <c r="S50" s="1">
        <v>24</v>
      </c>
      <c r="T50" s="1">
        <v>0.3</v>
      </c>
      <c r="U50" s="1">
        <v>1.4999999999999999E-2</v>
      </c>
      <c r="V50" s="1">
        <v>14</v>
      </c>
      <c r="Y50" t="s">
        <v>810</v>
      </c>
      <c r="Z50" s="1">
        <v>45</v>
      </c>
      <c r="AA50" s="1">
        <v>100</v>
      </c>
      <c r="AB50" s="1">
        <v>36</v>
      </c>
      <c r="AC50" s="1">
        <v>160</v>
      </c>
      <c r="AD50" s="1">
        <v>153</v>
      </c>
      <c r="AE50" s="1">
        <v>20</v>
      </c>
      <c r="AF50" s="1">
        <v>7500</v>
      </c>
      <c r="AG50" s="1">
        <v>8500</v>
      </c>
      <c r="AH50" s="1">
        <v>1.3</v>
      </c>
      <c r="AI50" s="1" t="s">
        <v>811</v>
      </c>
      <c r="AJ50" s="1"/>
      <c r="AK50" s="1"/>
      <c r="AL50" s="1" t="s">
        <v>704</v>
      </c>
      <c r="AM50" s="1">
        <v>83.8</v>
      </c>
      <c r="AN50" s="1">
        <v>58.5</v>
      </c>
      <c r="AO50" s="1">
        <v>1.5</v>
      </c>
      <c r="AP50" s="1">
        <v>1.5</v>
      </c>
      <c r="AQ50" s="1">
        <v>3.2</v>
      </c>
      <c r="AR50" s="1">
        <v>54</v>
      </c>
      <c r="AS50" s="1">
        <v>56</v>
      </c>
      <c r="AT50" s="1">
        <v>60</v>
      </c>
      <c r="AU50" s="1">
        <v>91.4</v>
      </c>
      <c r="AV50" s="1">
        <v>1.5</v>
      </c>
      <c r="AW50" s="1">
        <v>1.5</v>
      </c>
      <c r="AX50" s="1">
        <v>0.25</v>
      </c>
    </row>
    <row r="51" spans="2:50">
      <c r="B51" t="str">
        <f t="shared" si="0"/>
        <v>ID/OD(mm): 9/26, C/C0(kN): 4.75/1.96</v>
      </c>
      <c r="C51" s="101">
        <v>9</v>
      </c>
      <c r="D51" s="101">
        <v>26</v>
      </c>
      <c r="E51" s="101">
        <v>8</v>
      </c>
      <c r="F51" s="93">
        <v>4.75</v>
      </c>
      <c r="G51" s="101">
        <v>1.96</v>
      </c>
      <c r="H51" s="101">
        <v>8.3000000000000004E-2</v>
      </c>
      <c r="I51" s="101">
        <v>60000</v>
      </c>
      <c r="J51" s="101">
        <v>38000</v>
      </c>
      <c r="K51" s="1">
        <v>0.02</v>
      </c>
      <c r="L51" s="1" t="s">
        <v>812</v>
      </c>
      <c r="N51" s="1">
        <v>14.4</v>
      </c>
      <c r="O51" s="1">
        <v>19.8</v>
      </c>
      <c r="P51" s="1">
        <v>21.2</v>
      </c>
      <c r="Q51" s="1">
        <v>0.3</v>
      </c>
      <c r="R51" s="1">
        <v>11</v>
      </c>
      <c r="S51" s="1">
        <v>22</v>
      </c>
      <c r="T51" s="1">
        <v>0.3</v>
      </c>
      <c r="U51" s="1">
        <v>2.5000000000000001E-2</v>
      </c>
      <c r="V51" s="1">
        <v>13</v>
      </c>
      <c r="Y51" t="s">
        <v>813</v>
      </c>
      <c r="Z51" s="1">
        <v>45</v>
      </c>
      <c r="AA51" s="1">
        <v>120</v>
      </c>
      <c r="AB51" s="1">
        <v>29</v>
      </c>
      <c r="AC51" s="1">
        <v>106</v>
      </c>
      <c r="AD51" s="1">
        <v>102</v>
      </c>
      <c r="AE51" s="1">
        <v>13.4</v>
      </c>
      <c r="AF51" s="1">
        <v>6700</v>
      </c>
      <c r="AG51" s="1">
        <v>7500</v>
      </c>
      <c r="AH51" s="1">
        <v>1.65</v>
      </c>
      <c r="AI51" s="1" t="s">
        <v>814</v>
      </c>
      <c r="AJ51" s="1"/>
      <c r="AK51" s="1"/>
      <c r="AL51" s="1">
        <v>71.8</v>
      </c>
      <c r="AM51" s="1">
        <v>92.2</v>
      </c>
      <c r="AN51" s="1">
        <v>64.5</v>
      </c>
      <c r="AO51" s="1">
        <v>2</v>
      </c>
      <c r="AP51" s="1">
        <v>2</v>
      </c>
      <c r="AQ51" s="1">
        <v>2.5</v>
      </c>
      <c r="AR51" s="1">
        <v>58</v>
      </c>
      <c r="AS51" s="1">
        <v>62</v>
      </c>
      <c r="AT51" s="1">
        <v>66</v>
      </c>
      <c r="AU51" s="1">
        <v>108</v>
      </c>
      <c r="AV51" s="1">
        <v>2</v>
      </c>
      <c r="AW51" s="1">
        <v>2</v>
      </c>
      <c r="AX51" s="1">
        <v>0.15</v>
      </c>
    </row>
    <row r="52" spans="2:50">
      <c r="B52" t="str">
        <f t="shared" si="0"/>
        <v>ID/OD(mm): 10/26, C/C0(kN): 4.75/1.96</v>
      </c>
      <c r="C52" s="101">
        <v>10</v>
      </c>
      <c r="D52" s="101">
        <v>26</v>
      </c>
      <c r="E52" s="101">
        <v>8</v>
      </c>
      <c r="F52" s="93">
        <v>4.75</v>
      </c>
      <c r="G52" s="101">
        <v>1.96</v>
      </c>
      <c r="H52" s="101">
        <v>8.3000000000000004E-2</v>
      </c>
      <c r="I52" s="101">
        <v>67000</v>
      </c>
      <c r="J52" s="101">
        <v>40000</v>
      </c>
      <c r="K52" s="1">
        <v>1.9E-2</v>
      </c>
      <c r="L52" s="1" t="s">
        <v>815</v>
      </c>
      <c r="N52" s="1">
        <v>13.9</v>
      </c>
      <c r="O52" s="1">
        <v>18.2</v>
      </c>
      <c r="P52" s="1" t="s">
        <v>704</v>
      </c>
      <c r="Q52" s="1">
        <v>0.3</v>
      </c>
      <c r="R52" s="1">
        <v>12</v>
      </c>
      <c r="S52" s="1">
        <v>20</v>
      </c>
      <c r="T52" s="1">
        <v>0.3</v>
      </c>
      <c r="U52" s="1">
        <v>0.02</v>
      </c>
      <c r="V52" s="1">
        <v>14</v>
      </c>
      <c r="Y52" t="s">
        <v>816</v>
      </c>
      <c r="Z52" s="1">
        <v>50</v>
      </c>
      <c r="AA52" s="1">
        <v>80</v>
      </c>
      <c r="AB52" s="1">
        <v>16</v>
      </c>
      <c r="AC52" s="1">
        <v>46.8</v>
      </c>
      <c r="AD52" s="1">
        <v>56</v>
      </c>
      <c r="AE52" s="1">
        <v>6.7</v>
      </c>
      <c r="AF52" s="1">
        <v>9500</v>
      </c>
      <c r="AG52" s="1">
        <v>9500</v>
      </c>
      <c r="AH52" s="1">
        <v>0.27</v>
      </c>
      <c r="AI52" s="1" t="s">
        <v>817</v>
      </c>
      <c r="AJ52" s="1"/>
      <c r="AK52" s="1">
        <v>50</v>
      </c>
      <c r="AL52" s="1" t="s">
        <v>704</v>
      </c>
      <c r="AM52" s="1">
        <v>70</v>
      </c>
      <c r="AN52" s="1">
        <v>57.5</v>
      </c>
      <c r="AO52" s="1">
        <v>1</v>
      </c>
      <c r="AP52" s="1">
        <v>0.6</v>
      </c>
      <c r="AQ52" s="1">
        <v>1</v>
      </c>
      <c r="AR52" s="1">
        <v>53.4</v>
      </c>
      <c r="AS52" s="1">
        <v>56</v>
      </c>
      <c r="AT52" s="1">
        <v>59</v>
      </c>
      <c r="AU52" s="1">
        <v>74.599999999999994</v>
      </c>
      <c r="AV52" s="1">
        <v>1</v>
      </c>
      <c r="AW52" s="1">
        <v>0.6</v>
      </c>
      <c r="AX52" s="1">
        <v>0.1</v>
      </c>
    </row>
    <row r="53" spans="2:50">
      <c r="B53" t="str">
        <f t="shared" si="0"/>
        <v>ID/OD(mm): 10/28, C/C0(kN): 5.07/2.36</v>
      </c>
      <c r="C53" s="101">
        <v>10</v>
      </c>
      <c r="D53" s="101">
        <v>28</v>
      </c>
      <c r="E53" s="101">
        <v>8</v>
      </c>
      <c r="F53" s="93">
        <v>5.07</v>
      </c>
      <c r="G53" s="101">
        <v>2.36</v>
      </c>
      <c r="H53" s="101">
        <v>0.1</v>
      </c>
      <c r="I53" s="101">
        <v>60000</v>
      </c>
      <c r="J53" s="101">
        <v>38000</v>
      </c>
      <c r="K53" s="1">
        <v>2.4E-2</v>
      </c>
      <c r="L53" s="1" t="s">
        <v>818</v>
      </c>
      <c r="N53" s="1">
        <v>14.8</v>
      </c>
      <c r="O53" s="1">
        <v>21.2</v>
      </c>
      <c r="P53" s="1">
        <v>22.6</v>
      </c>
      <c r="Q53" s="1">
        <v>0.3</v>
      </c>
      <c r="R53" s="1">
        <v>12</v>
      </c>
      <c r="S53" s="1">
        <v>24</v>
      </c>
      <c r="T53" s="1">
        <v>0.3</v>
      </c>
      <c r="U53" s="1">
        <v>2.5000000000000001E-2</v>
      </c>
      <c r="V53" s="1">
        <v>12</v>
      </c>
      <c r="Y53" t="s">
        <v>819</v>
      </c>
      <c r="Z53" s="1">
        <v>50</v>
      </c>
      <c r="AA53" s="1">
        <v>90</v>
      </c>
      <c r="AB53" s="1">
        <v>20</v>
      </c>
      <c r="AC53" s="1">
        <v>73.5</v>
      </c>
      <c r="AD53" s="1">
        <v>69.5</v>
      </c>
      <c r="AE53" s="1">
        <v>8.8000000000000007</v>
      </c>
      <c r="AF53" s="1">
        <v>8500</v>
      </c>
      <c r="AG53" s="1">
        <v>9000</v>
      </c>
      <c r="AH53" s="1">
        <v>0.48</v>
      </c>
      <c r="AI53" s="1" t="s">
        <v>820</v>
      </c>
      <c r="AJ53" s="1"/>
      <c r="AK53" s="1"/>
      <c r="AL53" s="1">
        <v>64</v>
      </c>
      <c r="AM53" s="1">
        <v>78</v>
      </c>
      <c r="AN53" s="1">
        <v>59.5</v>
      </c>
      <c r="AO53" s="1">
        <v>1.1000000000000001</v>
      </c>
      <c r="AP53" s="1">
        <v>1.1000000000000001</v>
      </c>
      <c r="AQ53" s="1">
        <v>1.5</v>
      </c>
      <c r="AR53" s="1">
        <v>57</v>
      </c>
      <c r="AS53" s="1">
        <v>57.5</v>
      </c>
      <c r="AT53" s="1">
        <v>61</v>
      </c>
      <c r="AU53" s="1">
        <v>82.4</v>
      </c>
      <c r="AV53" s="1">
        <v>1</v>
      </c>
      <c r="AW53" s="1">
        <v>1</v>
      </c>
      <c r="AX53" s="1">
        <v>0.15</v>
      </c>
    </row>
    <row r="54" spans="2:50">
      <c r="B54" t="str">
        <f t="shared" si="0"/>
        <v>ID/OD(mm): 12/30, C/C0(kN): 5.07/2.36</v>
      </c>
      <c r="C54" s="101">
        <v>12</v>
      </c>
      <c r="D54" s="101">
        <v>30</v>
      </c>
      <c r="E54" s="101">
        <v>8</v>
      </c>
      <c r="F54" s="93">
        <v>5.07</v>
      </c>
      <c r="G54" s="101">
        <v>2.36</v>
      </c>
      <c r="H54" s="101">
        <v>0.1</v>
      </c>
      <c r="I54" s="101">
        <v>60000</v>
      </c>
      <c r="J54" s="101">
        <v>38000</v>
      </c>
      <c r="K54" s="1">
        <v>2.5999999999999999E-2</v>
      </c>
      <c r="L54" s="1" t="s">
        <v>821</v>
      </c>
      <c r="N54" s="1">
        <v>17</v>
      </c>
      <c r="O54" s="1">
        <v>23.2</v>
      </c>
      <c r="P54" s="1">
        <v>24.8</v>
      </c>
      <c r="Q54" s="1">
        <v>0.3</v>
      </c>
      <c r="R54" s="1">
        <v>14</v>
      </c>
      <c r="S54" s="1">
        <v>26</v>
      </c>
      <c r="T54" s="1">
        <v>0.3</v>
      </c>
      <c r="U54" s="1">
        <v>2.5000000000000001E-2</v>
      </c>
      <c r="V54" s="1">
        <v>13</v>
      </c>
      <c r="Y54" t="s">
        <v>822</v>
      </c>
      <c r="Z54" s="1">
        <v>50</v>
      </c>
      <c r="AA54" s="1">
        <v>90</v>
      </c>
      <c r="AB54" s="1">
        <v>23</v>
      </c>
      <c r="AC54" s="1">
        <v>90</v>
      </c>
      <c r="AD54" s="1">
        <v>88</v>
      </c>
      <c r="AE54" s="1">
        <v>11.4</v>
      </c>
      <c r="AF54" s="1">
        <v>8500</v>
      </c>
      <c r="AG54" s="1">
        <v>9000</v>
      </c>
      <c r="AH54" s="1">
        <v>0.56000000000000005</v>
      </c>
      <c r="AI54" s="1" t="s">
        <v>823</v>
      </c>
      <c r="AJ54" s="1"/>
      <c r="AK54" s="1"/>
      <c r="AL54" s="1" t="s">
        <v>704</v>
      </c>
      <c r="AM54" s="1">
        <v>78</v>
      </c>
      <c r="AN54" s="1">
        <v>59.5</v>
      </c>
      <c r="AO54" s="1">
        <v>1.1000000000000001</v>
      </c>
      <c r="AP54" s="1">
        <v>1.1000000000000001</v>
      </c>
      <c r="AQ54" s="1">
        <v>1.5</v>
      </c>
      <c r="AR54" s="1">
        <v>57</v>
      </c>
      <c r="AS54" s="1">
        <v>57.5</v>
      </c>
      <c r="AT54" s="1">
        <v>61</v>
      </c>
      <c r="AU54" s="1">
        <v>82.4</v>
      </c>
      <c r="AV54" s="1">
        <v>1</v>
      </c>
      <c r="AW54" s="1">
        <v>1</v>
      </c>
      <c r="AX54" s="1">
        <v>0.2</v>
      </c>
    </row>
    <row r="55" spans="2:50">
      <c r="B55" t="str">
        <f t="shared" si="0"/>
        <v>ID/OD(mm): 12/28, C/C0(kN): 5.4/2.36</v>
      </c>
      <c r="C55" s="101">
        <v>12</v>
      </c>
      <c r="D55" s="101">
        <v>28</v>
      </c>
      <c r="E55" s="101">
        <v>8</v>
      </c>
      <c r="F55" s="93">
        <v>5.4</v>
      </c>
      <c r="G55" s="101">
        <v>2.36</v>
      </c>
      <c r="H55" s="101">
        <v>0.1</v>
      </c>
      <c r="I55" s="101">
        <v>60000</v>
      </c>
      <c r="J55" s="101">
        <v>38000</v>
      </c>
      <c r="K55" s="1">
        <v>2.1000000000000001E-2</v>
      </c>
      <c r="L55" s="1" t="s">
        <v>824</v>
      </c>
      <c r="N55" s="1">
        <v>16</v>
      </c>
      <c r="O55" s="1">
        <v>20.3</v>
      </c>
      <c r="P55" s="1" t="s">
        <v>704</v>
      </c>
      <c r="Q55" s="1">
        <v>0.3</v>
      </c>
      <c r="R55" s="1">
        <v>14</v>
      </c>
      <c r="S55" s="1">
        <v>22</v>
      </c>
      <c r="T55" s="1">
        <v>0.3</v>
      </c>
      <c r="U55" s="1">
        <v>0.02</v>
      </c>
      <c r="V55" s="1">
        <v>15</v>
      </c>
      <c r="Y55" t="s">
        <v>825</v>
      </c>
      <c r="Z55" s="1">
        <v>50</v>
      </c>
      <c r="AA55" s="1">
        <v>110</v>
      </c>
      <c r="AB55" s="1">
        <v>27</v>
      </c>
      <c r="AC55" s="1">
        <v>127</v>
      </c>
      <c r="AD55" s="1">
        <v>112</v>
      </c>
      <c r="AE55" s="1">
        <v>15</v>
      </c>
      <c r="AF55" s="1">
        <v>6700</v>
      </c>
      <c r="AG55" s="1">
        <v>8000</v>
      </c>
      <c r="AH55" s="1">
        <v>1.1499999999999999</v>
      </c>
      <c r="AI55" s="1" t="s">
        <v>826</v>
      </c>
      <c r="AJ55" s="1"/>
      <c r="AK55" s="1"/>
      <c r="AL55" s="1">
        <v>71.2</v>
      </c>
      <c r="AM55" s="1">
        <v>92.1</v>
      </c>
      <c r="AN55" s="1">
        <v>65</v>
      </c>
      <c r="AO55" s="1">
        <v>2</v>
      </c>
      <c r="AP55" s="1">
        <v>2</v>
      </c>
      <c r="AQ55" s="1">
        <v>1.9</v>
      </c>
      <c r="AR55" s="1">
        <v>60</v>
      </c>
      <c r="AS55" s="1">
        <v>63</v>
      </c>
      <c r="AT55" s="1">
        <v>67</v>
      </c>
      <c r="AU55" s="1">
        <v>99.6</v>
      </c>
      <c r="AV55" s="1">
        <v>2</v>
      </c>
      <c r="AW55" s="1">
        <v>2</v>
      </c>
      <c r="AX55" s="1">
        <v>0.15</v>
      </c>
    </row>
    <row r="56" spans="2:50">
      <c r="B56" t="str">
        <f t="shared" si="0"/>
        <v>ID/OD(mm): 10/30, C/C0(kN): 5.4/2.36</v>
      </c>
      <c r="C56" s="101">
        <v>10</v>
      </c>
      <c r="D56" s="101">
        <v>30</v>
      </c>
      <c r="E56" s="101">
        <v>9</v>
      </c>
      <c r="F56" s="93">
        <v>5.4</v>
      </c>
      <c r="G56" s="101">
        <v>2.36</v>
      </c>
      <c r="H56" s="101">
        <v>0.1</v>
      </c>
      <c r="I56" s="101">
        <v>56000</v>
      </c>
      <c r="J56" s="101">
        <v>36000</v>
      </c>
      <c r="K56" s="1">
        <v>3.1E-2</v>
      </c>
      <c r="L56" s="1" t="s">
        <v>827</v>
      </c>
      <c r="N56" s="1">
        <v>17</v>
      </c>
      <c r="O56" s="1">
        <v>23.2</v>
      </c>
      <c r="P56" s="1">
        <v>24.8</v>
      </c>
      <c r="Q56" s="1">
        <v>0.3</v>
      </c>
      <c r="R56" s="1">
        <v>14.2</v>
      </c>
      <c r="S56" s="1">
        <v>23.8</v>
      </c>
      <c r="T56" s="1">
        <v>0.3</v>
      </c>
      <c r="U56" s="1">
        <v>2.5000000000000001E-2</v>
      </c>
      <c r="V56" s="1">
        <v>13</v>
      </c>
      <c r="Y56" t="s">
        <v>828</v>
      </c>
      <c r="Z56" s="1">
        <v>50</v>
      </c>
      <c r="AA56" s="1">
        <v>110</v>
      </c>
      <c r="AB56" s="1">
        <v>40</v>
      </c>
      <c r="AC56" s="1">
        <v>186</v>
      </c>
      <c r="AD56" s="1">
        <v>186</v>
      </c>
      <c r="AE56" s="1">
        <v>24.5</v>
      </c>
      <c r="AF56" s="1">
        <v>6700</v>
      </c>
      <c r="AG56" s="1">
        <v>8000</v>
      </c>
      <c r="AH56" s="1">
        <v>1.75</v>
      </c>
      <c r="AI56" s="1" t="s">
        <v>829</v>
      </c>
      <c r="AJ56" s="1"/>
      <c r="AK56" s="1"/>
      <c r="AL56" s="1" t="s">
        <v>704</v>
      </c>
      <c r="AM56" s="1">
        <v>92.1</v>
      </c>
      <c r="AN56" s="1">
        <v>65</v>
      </c>
      <c r="AO56" s="1">
        <v>2</v>
      </c>
      <c r="AP56" s="1">
        <v>2</v>
      </c>
      <c r="AQ56" s="1">
        <v>3.4</v>
      </c>
      <c r="AR56" s="1">
        <v>60</v>
      </c>
      <c r="AS56" s="1">
        <v>63</v>
      </c>
      <c r="AT56" s="1">
        <v>67</v>
      </c>
      <c r="AU56" s="1">
        <v>99.6</v>
      </c>
      <c r="AV56" s="1">
        <v>2</v>
      </c>
      <c r="AW56" s="1">
        <v>2</v>
      </c>
      <c r="AX56" s="1">
        <v>0.25</v>
      </c>
    </row>
    <row r="57" spans="2:50">
      <c r="B57" t="str">
        <f t="shared" si="0"/>
        <v>ID/OD(mm): 15/32, C/C0(kN): 5.85/2.85</v>
      </c>
      <c r="C57" s="101">
        <v>15</v>
      </c>
      <c r="D57" s="101">
        <v>32</v>
      </c>
      <c r="E57" s="101">
        <v>8</v>
      </c>
      <c r="F57" s="93">
        <v>5.85</v>
      </c>
      <c r="G57" s="101">
        <v>2.85</v>
      </c>
      <c r="H57" s="101">
        <v>0.12</v>
      </c>
      <c r="I57" s="101">
        <v>50000</v>
      </c>
      <c r="J57" s="101">
        <v>32000</v>
      </c>
      <c r="K57" s="1">
        <v>0.03</v>
      </c>
      <c r="L57" s="1" t="s">
        <v>830</v>
      </c>
      <c r="N57" s="1">
        <v>18.8</v>
      </c>
      <c r="O57" s="1">
        <v>24.2</v>
      </c>
      <c r="P57" s="1">
        <v>25.3</v>
      </c>
      <c r="Q57" s="1">
        <v>0.3</v>
      </c>
      <c r="R57" s="1">
        <v>17</v>
      </c>
      <c r="S57" s="1">
        <v>26</v>
      </c>
      <c r="T57" s="1">
        <v>0.3</v>
      </c>
      <c r="U57" s="1">
        <v>0.02</v>
      </c>
      <c r="V57" s="1">
        <v>14</v>
      </c>
      <c r="Y57" t="s">
        <v>831</v>
      </c>
      <c r="Z57" s="1">
        <v>50</v>
      </c>
      <c r="AA57" s="1">
        <v>130</v>
      </c>
      <c r="AB57" s="1">
        <v>31</v>
      </c>
      <c r="AC57" s="1">
        <v>130</v>
      </c>
      <c r="AD57" s="1">
        <v>127</v>
      </c>
      <c r="AE57" s="1">
        <v>16.600000000000001</v>
      </c>
      <c r="AF57" s="1">
        <v>6000</v>
      </c>
      <c r="AG57" s="1">
        <v>7000</v>
      </c>
      <c r="AH57" s="1">
        <v>2</v>
      </c>
      <c r="AI57" s="1" t="s">
        <v>832</v>
      </c>
      <c r="AJ57" s="1"/>
      <c r="AK57" s="1"/>
      <c r="AL57" s="1">
        <v>78.8</v>
      </c>
      <c r="AM57" s="1">
        <v>102</v>
      </c>
      <c r="AN57" s="1">
        <v>70.8</v>
      </c>
      <c r="AO57" s="1">
        <v>2.1</v>
      </c>
      <c r="AP57" s="1">
        <v>2.1</v>
      </c>
      <c r="AQ57" s="1">
        <v>2.6</v>
      </c>
      <c r="AR57" s="1">
        <v>64</v>
      </c>
      <c r="AS57" s="1">
        <v>68</v>
      </c>
      <c r="AT57" s="1">
        <v>73</v>
      </c>
      <c r="AU57" s="1">
        <v>116</v>
      </c>
      <c r="AV57" s="1">
        <v>2</v>
      </c>
      <c r="AW57" s="1">
        <v>2</v>
      </c>
      <c r="AX57" s="1">
        <v>0.15</v>
      </c>
    </row>
    <row r="58" spans="2:50">
      <c r="B58" t="str">
        <f t="shared" si="0"/>
        <v>ID/OD(mm): 15/32, C/C0(kN): 5.85/2.85</v>
      </c>
      <c r="C58" s="101">
        <v>15</v>
      </c>
      <c r="D58" s="101">
        <v>32</v>
      </c>
      <c r="E58" s="101">
        <v>9</v>
      </c>
      <c r="F58" s="93">
        <v>5.85</v>
      </c>
      <c r="G58" s="101">
        <v>2.85</v>
      </c>
      <c r="H58" s="101">
        <v>0.12</v>
      </c>
      <c r="I58" s="101">
        <v>50000</v>
      </c>
      <c r="J58" s="101">
        <v>32000</v>
      </c>
      <c r="K58" s="1">
        <v>0.03</v>
      </c>
      <c r="L58" s="1" t="s">
        <v>833</v>
      </c>
      <c r="N58" s="1">
        <v>20.5</v>
      </c>
      <c r="O58" s="1">
        <v>26.7</v>
      </c>
      <c r="P58" s="1">
        <v>28.2</v>
      </c>
      <c r="Q58" s="1">
        <v>0.3</v>
      </c>
      <c r="R58" s="1">
        <v>17</v>
      </c>
      <c r="S58" s="1">
        <v>30</v>
      </c>
      <c r="T58" s="1">
        <v>0.3</v>
      </c>
      <c r="U58" s="1">
        <v>0.02</v>
      </c>
      <c r="V58" s="1">
        <v>14</v>
      </c>
      <c r="Y58" t="s">
        <v>834</v>
      </c>
      <c r="Z58" s="1">
        <v>55</v>
      </c>
      <c r="AA58" s="1">
        <v>90</v>
      </c>
      <c r="AB58" s="1">
        <v>18</v>
      </c>
      <c r="AC58" s="1">
        <v>57.2</v>
      </c>
      <c r="AD58" s="1">
        <v>69.5</v>
      </c>
      <c r="AE58" s="1">
        <v>8.3000000000000007</v>
      </c>
      <c r="AF58" s="1">
        <v>8500</v>
      </c>
      <c r="AG58" s="1">
        <v>8500</v>
      </c>
      <c r="AH58" s="1">
        <v>0.39</v>
      </c>
      <c r="AI58" s="1" t="s">
        <v>835</v>
      </c>
      <c r="AJ58" s="1"/>
      <c r="AK58" s="1">
        <v>55</v>
      </c>
      <c r="AL58" s="1" t="s">
        <v>704</v>
      </c>
      <c r="AM58" s="1">
        <v>79</v>
      </c>
      <c r="AN58" s="1">
        <v>64.5</v>
      </c>
      <c r="AO58" s="1">
        <v>1.1000000000000001</v>
      </c>
      <c r="AP58" s="1">
        <v>1</v>
      </c>
      <c r="AQ58" s="1">
        <v>0.5</v>
      </c>
      <c r="AR58" s="1">
        <v>59.7</v>
      </c>
      <c r="AS58" s="1">
        <v>63</v>
      </c>
      <c r="AT58" s="1">
        <v>66</v>
      </c>
      <c r="AU58" s="1">
        <v>83</v>
      </c>
      <c r="AV58" s="1">
        <v>1</v>
      </c>
      <c r="AW58" s="1">
        <v>1</v>
      </c>
      <c r="AX58" s="1">
        <v>0.1</v>
      </c>
    </row>
    <row r="59" spans="2:50">
      <c r="B59" t="str">
        <f t="shared" si="0"/>
        <v>ID/OD(mm): 17/35, C/C0(kN): 6.37/3.25</v>
      </c>
      <c r="C59" s="101">
        <v>17</v>
      </c>
      <c r="D59" s="101">
        <v>35</v>
      </c>
      <c r="E59" s="101">
        <v>8</v>
      </c>
      <c r="F59" s="93">
        <v>6.37</v>
      </c>
      <c r="G59" s="101">
        <v>3.25</v>
      </c>
      <c r="H59" s="101">
        <v>0.13700000000000001</v>
      </c>
      <c r="I59" s="101">
        <v>45000</v>
      </c>
      <c r="J59" s="101">
        <v>28000</v>
      </c>
      <c r="K59" s="1">
        <v>3.7999999999999999E-2</v>
      </c>
      <c r="L59" s="1" t="s">
        <v>836</v>
      </c>
      <c r="N59" s="1">
        <v>20.399999999999999</v>
      </c>
      <c r="O59" s="1">
        <v>26.6</v>
      </c>
      <c r="P59" s="1">
        <v>27.7</v>
      </c>
      <c r="Q59" s="1">
        <v>0.3</v>
      </c>
      <c r="R59" s="1">
        <v>19</v>
      </c>
      <c r="S59" s="1">
        <v>28</v>
      </c>
      <c r="T59" s="1">
        <v>0.3</v>
      </c>
      <c r="U59" s="1">
        <v>0.02</v>
      </c>
      <c r="V59" s="1">
        <v>15</v>
      </c>
      <c r="Y59" t="s">
        <v>837</v>
      </c>
      <c r="Z59" s="1">
        <v>55</v>
      </c>
      <c r="AA59" s="1">
        <v>100</v>
      </c>
      <c r="AB59" s="1">
        <v>21</v>
      </c>
      <c r="AC59" s="1">
        <v>96.5</v>
      </c>
      <c r="AD59" s="1">
        <v>95</v>
      </c>
      <c r="AE59" s="1">
        <v>12.2</v>
      </c>
      <c r="AF59" s="1">
        <v>7500</v>
      </c>
      <c r="AG59" s="1">
        <v>8000</v>
      </c>
      <c r="AH59" s="1">
        <v>0.66</v>
      </c>
      <c r="AI59" s="1" t="s">
        <v>838</v>
      </c>
      <c r="AJ59" s="1"/>
      <c r="AK59" s="1"/>
      <c r="AL59" s="1">
        <v>70.8</v>
      </c>
      <c r="AM59" s="1">
        <v>86.3</v>
      </c>
      <c r="AN59" s="1">
        <v>66</v>
      </c>
      <c r="AO59" s="1">
        <v>1.5</v>
      </c>
      <c r="AP59" s="1">
        <v>1.1000000000000001</v>
      </c>
      <c r="AQ59" s="1">
        <v>1</v>
      </c>
      <c r="AR59" s="1">
        <v>62</v>
      </c>
      <c r="AS59" s="1">
        <v>64</v>
      </c>
      <c r="AT59" s="1">
        <v>68</v>
      </c>
      <c r="AU59" s="1">
        <v>91.4</v>
      </c>
      <c r="AV59" s="1">
        <v>1.5</v>
      </c>
      <c r="AW59" s="1">
        <v>1</v>
      </c>
      <c r="AX59" s="1">
        <v>0.15</v>
      </c>
    </row>
    <row r="60" spans="2:50">
      <c r="B60" t="str">
        <f t="shared" si="0"/>
        <v>ID/OD(mm): 20/37, C/C0(kN): 6.37/3.65</v>
      </c>
      <c r="C60" s="101">
        <v>20</v>
      </c>
      <c r="D60" s="101">
        <v>37</v>
      </c>
      <c r="E60" s="101">
        <v>9</v>
      </c>
      <c r="F60" s="93">
        <v>6.37</v>
      </c>
      <c r="G60" s="101">
        <v>3.65</v>
      </c>
      <c r="H60" s="101">
        <v>0.156</v>
      </c>
      <c r="I60" s="101">
        <v>43000</v>
      </c>
      <c r="J60" s="101">
        <v>26000</v>
      </c>
      <c r="K60" s="1">
        <v>3.6999999999999998E-2</v>
      </c>
      <c r="L60" s="1" t="s">
        <v>839</v>
      </c>
      <c r="M60" s="1">
        <v>20</v>
      </c>
      <c r="N60" s="1">
        <v>23.8</v>
      </c>
      <c r="O60" s="1">
        <v>28.3</v>
      </c>
      <c r="P60" s="1" t="s">
        <v>704</v>
      </c>
      <c r="Q60" s="1">
        <v>0.3</v>
      </c>
      <c r="R60" s="1">
        <v>22</v>
      </c>
      <c r="S60" s="1">
        <v>30</v>
      </c>
      <c r="T60" s="1">
        <v>0.3</v>
      </c>
      <c r="U60" s="1">
        <v>1.4999999999999999E-2</v>
      </c>
      <c r="V60" s="1">
        <v>15</v>
      </c>
      <c r="Y60" t="s">
        <v>840</v>
      </c>
      <c r="Z60" s="1">
        <v>55</v>
      </c>
      <c r="AA60" s="1">
        <v>100</v>
      </c>
      <c r="AB60" s="1">
        <v>25</v>
      </c>
      <c r="AC60" s="1">
        <v>114</v>
      </c>
      <c r="AD60" s="1">
        <v>118</v>
      </c>
      <c r="AE60" s="1">
        <v>15.3</v>
      </c>
      <c r="AF60" s="1">
        <v>7500</v>
      </c>
      <c r="AG60" s="1">
        <v>8000</v>
      </c>
      <c r="AH60" s="1">
        <v>0.79</v>
      </c>
      <c r="AI60" s="1" t="s">
        <v>841</v>
      </c>
      <c r="AJ60" s="1"/>
      <c r="AK60" s="1"/>
      <c r="AL60" s="1">
        <v>70.8</v>
      </c>
      <c r="AM60" s="1">
        <v>86.3</v>
      </c>
      <c r="AN60" s="1">
        <v>66</v>
      </c>
      <c r="AO60" s="1">
        <v>1.5</v>
      </c>
      <c r="AP60" s="1">
        <v>1.1000000000000001</v>
      </c>
      <c r="AQ60" s="1">
        <v>1.5</v>
      </c>
      <c r="AR60" s="1">
        <v>62</v>
      </c>
      <c r="AS60" s="1">
        <v>64</v>
      </c>
      <c r="AT60" s="1">
        <v>68</v>
      </c>
      <c r="AU60" s="1">
        <v>91.4</v>
      </c>
      <c r="AV60" s="1">
        <v>1.5</v>
      </c>
      <c r="AW60" s="1">
        <v>1</v>
      </c>
      <c r="AX60" s="1">
        <v>0.2</v>
      </c>
    </row>
    <row r="61" spans="2:50">
      <c r="B61" t="str">
        <f t="shared" si="0"/>
        <v>ID/OD(mm): 17/35, C/C0(kN): 6.37/3.25</v>
      </c>
      <c r="C61" s="101">
        <v>17</v>
      </c>
      <c r="D61" s="101">
        <v>35</v>
      </c>
      <c r="E61" s="101">
        <v>10</v>
      </c>
      <c r="F61" s="93">
        <v>6.37</v>
      </c>
      <c r="G61" s="101">
        <v>3.25</v>
      </c>
      <c r="H61" s="101">
        <v>0.13700000000000001</v>
      </c>
      <c r="I61" s="101">
        <v>45000</v>
      </c>
      <c r="J61" s="101">
        <v>28000</v>
      </c>
      <c r="K61" s="1">
        <v>3.7999999999999999E-2</v>
      </c>
      <c r="L61" s="1" t="s">
        <v>842</v>
      </c>
      <c r="N61" s="1">
        <v>23</v>
      </c>
      <c r="O61" s="1">
        <v>29.2</v>
      </c>
      <c r="P61" s="1">
        <v>31.2</v>
      </c>
      <c r="Q61" s="1">
        <v>0.3</v>
      </c>
      <c r="R61" s="1">
        <v>19</v>
      </c>
      <c r="S61" s="1">
        <v>33</v>
      </c>
      <c r="T61" s="1">
        <v>0.3</v>
      </c>
      <c r="U61" s="1">
        <v>0.02</v>
      </c>
      <c r="V61" s="1">
        <v>14</v>
      </c>
      <c r="Y61" t="s">
        <v>843</v>
      </c>
      <c r="Z61" s="1">
        <v>55</v>
      </c>
      <c r="AA61" s="1">
        <v>120</v>
      </c>
      <c r="AB61" s="1">
        <v>29</v>
      </c>
      <c r="AC61" s="1">
        <v>156</v>
      </c>
      <c r="AD61" s="1">
        <v>143</v>
      </c>
      <c r="AE61" s="1">
        <v>18.600000000000001</v>
      </c>
      <c r="AF61" s="1">
        <v>6000</v>
      </c>
      <c r="AG61" s="1">
        <v>7000</v>
      </c>
      <c r="AH61" s="1">
        <v>1.45</v>
      </c>
      <c r="AI61" s="1" t="s">
        <v>844</v>
      </c>
      <c r="AJ61" s="1"/>
      <c r="AK61" s="1"/>
      <c r="AL61" s="1">
        <v>77.5</v>
      </c>
      <c r="AM61" s="1">
        <v>101</v>
      </c>
      <c r="AN61" s="1">
        <v>70.5</v>
      </c>
      <c r="AO61" s="1">
        <v>2</v>
      </c>
      <c r="AP61" s="1">
        <v>2</v>
      </c>
      <c r="AQ61" s="1">
        <v>2</v>
      </c>
      <c r="AR61" s="1">
        <v>65</v>
      </c>
      <c r="AS61" s="1">
        <v>68</v>
      </c>
      <c r="AT61" s="1">
        <v>73</v>
      </c>
      <c r="AU61" s="1">
        <v>109</v>
      </c>
      <c r="AV61" s="1">
        <v>2</v>
      </c>
      <c r="AW61" s="1">
        <v>2</v>
      </c>
      <c r="AX61" s="1">
        <v>0.15</v>
      </c>
    </row>
    <row r="62" spans="2:50">
      <c r="B62" t="str">
        <f t="shared" si="0"/>
        <v>ID/OD(mm): 45/58, C/C0(kN): 6.63/6.1</v>
      </c>
      <c r="C62" s="101">
        <v>45</v>
      </c>
      <c r="D62" s="101">
        <v>58</v>
      </c>
      <c r="E62" s="101">
        <v>7</v>
      </c>
      <c r="F62" s="93">
        <v>6.63</v>
      </c>
      <c r="G62" s="101">
        <v>6.1</v>
      </c>
      <c r="H62" s="101">
        <v>0.26</v>
      </c>
      <c r="I62" s="101">
        <v>22000</v>
      </c>
      <c r="J62" s="101">
        <v>14000</v>
      </c>
      <c r="K62" s="1">
        <v>0.04</v>
      </c>
      <c r="L62" s="1" t="s">
        <v>845</v>
      </c>
      <c r="N62" s="1">
        <v>62.8</v>
      </c>
      <c r="O62" s="1">
        <v>87</v>
      </c>
      <c r="P62" s="1" t="s">
        <v>704</v>
      </c>
      <c r="Q62" s="1">
        <v>2</v>
      </c>
      <c r="R62" s="1">
        <v>53</v>
      </c>
      <c r="S62" s="1">
        <v>97</v>
      </c>
      <c r="T62" s="1">
        <v>2</v>
      </c>
      <c r="U62" s="1">
        <v>3.5000000000000003E-2</v>
      </c>
      <c r="V62" s="1">
        <v>12</v>
      </c>
      <c r="Y62" t="s">
        <v>846</v>
      </c>
      <c r="Z62" s="1">
        <v>55</v>
      </c>
      <c r="AA62" s="1">
        <v>120</v>
      </c>
      <c r="AB62" s="1">
        <v>43</v>
      </c>
      <c r="AC62" s="1">
        <v>232</v>
      </c>
      <c r="AD62" s="1">
        <v>232</v>
      </c>
      <c r="AE62" s="1">
        <v>30.5</v>
      </c>
      <c r="AF62" s="1">
        <v>6000</v>
      </c>
      <c r="AG62" s="1">
        <v>7000</v>
      </c>
      <c r="AH62" s="1">
        <v>2.2000000000000002</v>
      </c>
      <c r="AI62" s="1" t="s">
        <v>847</v>
      </c>
      <c r="AJ62" s="1"/>
      <c r="AK62" s="1"/>
      <c r="AL62" s="1">
        <v>77.5</v>
      </c>
      <c r="AM62" s="1">
        <v>101</v>
      </c>
      <c r="AN62" s="1">
        <v>70.5</v>
      </c>
      <c r="AO62" s="1">
        <v>2</v>
      </c>
      <c r="AP62" s="1">
        <v>2</v>
      </c>
      <c r="AQ62" s="1">
        <v>3.5</v>
      </c>
      <c r="AR62" s="1">
        <v>65</v>
      </c>
      <c r="AS62" s="1">
        <v>68</v>
      </c>
      <c r="AT62" s="1">
        <v>73</v>
      </c>
      <c r="AU62" s="1">
        <v>109</v>
      </c>
      <c r="AV62" s="1">
        <v>2</v>
      </c>
      <c r="AW62" s="1">
        <v>2</v>
      </c>
      <c r="AX62" s="1">
        <v>0.25</v>
      </c>
    </row>
    <row r="63" spans="2:50">
      <c r="B63" t="str">
        <f t="shared" si="0"/>
        <v>ID/OD(mm): 50/65, C/C0(kN): 6.76/6.8</v>
      </c>
      <c r="C63" s="101">
        <v>50</v>
      </c>
      <c r="D63" s="101">
        <v>65</v>
      </c>
      <c r="E63" s="101">
        <v>7</v>
      </c>
      <c r="F63" s="93">
        <v>6.76</v>
      </c>
      <c r="G63" s="101">
        <v>6.8</v>
      </c>
      <c r="H63" s="101">
        <v>0.28499999999999998</v>
      </c>
      <c r="I63" s="101">
        <v>20000</v>
      </c>
      <c r="J63" s="101">
        <v>13000</v>
      </c>
      <c r="K63" s="1">
        <v>5.1999999999999998E-2</v>
      </c>
      <c r="L63" s="1" t="s">
        <v>848</v>
      </c>
      <c r="N63" s="1">
        <v>68.900000000000006</v>
      </c>
      <c r="O63" s="1">
        <v>95.9</v>
      </c>
      <c r="P63" s="1" t="s">
        <v>704</v>
      </c>
      <c r="Q63" s="1">
        <v>2</v>
      </c>
      <c r="R63" s="1">
        <v>58</v>
      </c>
      <c r="S63" s="1">
        <v>107</v>
      </c>
      <c r="T63" s="1">
        <v>2</v>
      </c>
      <c r="U63" s="1">
        <v>3.5000000000000003E-2</v>
      </c>
      <c r="V63" s="1">
        <v>12</v>
      </c>
      <c r="Y63" t="s">
        <v>849</v>
      </c>
      <c r="Z63" s="1">
        <v>55</v>
      </c>
      <c r="AA63" s="1">
        <v>140</v>
      </c>
      <c r="AB63" s="1">
        <v>33</v>
      </c>
      <c r="AC63" s="1">
        <v>142</v>
      </c>
      <c r="AD63" s="1">
        <v>140</v>
      </c>
      <c r="AE63" s="1">
        <v>18.600000000000001</v>
      </c>
      <c r="AF63" s="1">
        <v>5600</v>
      </c>
      <c r="AG63" s="1">
        <v>6300</v>
      </c>
      <c r="AH63" s="1">
        <v>2.5</v>
      </c>
      <c r="AI63" s="1" t="s">
        <v>850</v>
      </c>
      <c r="AJ63" s="1"/>
      <c r="AK63" s="1"/>
      <c r="AL63" s="1">
        <v>85.2</v>
      </c>
      <c r="AM63" s="1">
        <v>108</v>
      </c>
      <c r="AN63" s="1">
        <v>77.2</v>
      </c>
      <c r="AO63" s="1">
        <v>2.1</v>
      </c>
      <c r="AP63" s="1">
        <v>2.1</v>
      </c>
      <c r="AQ63" s="1">
        <v>2.6</v>
      </c>
      <c r="AR63" s="1">
        <v>69</v>
      </c>
      <c r="AS63" s="1">
        <v>74</v>
      </c>
      <c r="AT63" s="1">
        <v>79</v>
      </c>
      <c r="AU63" s="1">
        <v>126</v>
      </c>
      <c r="AV63" s="1">
        <v>2</v>
      </c>
      <c r="AW63" s="1">
        <v>2</v>
      </c>
      <c r="AX63" s="1">
        <v>0.15</v>
      </c>
    </row>
    <row r="64" spans="2:50">
      <c r="B64" t="str">
        <f t="shared" si="0"/>
        <v>ID/OD(mm): 25/42, C/C0(kN): 7.02/4.3</v>
      </c>
      <c r="C64" s="101">
        <v>25</v>
      </c>
      <c r="D64" s="101">
        <v>42</v>
      </c>
      <c r="E64" s="101">
        <v>9</v>
      </c>
      <c r="F64" s="93">
        <v>7.02</v>
      </c>
      <c r="G64" s="101">
        <v>4.3</v>
      </c>
      <c r="H64" s="101">
        <v>0.193</v>
      </c>
      <c r="I64" s="101">
        <v>36000</v>
      </c>
      <c r="J64" s="101">
        <v>22000</v>
      </c>
      <c r="K64" s="1">
        <v>4.4999999999999998E-2</v>
      </c>
      <c r="L64" s="1" t="s">
        <v>851</v>
      </c>
      <c r="M64" s="1">
        <v>25</v>
      </c>
      <c r="N64" s="1">
        <v>28.5</v>
      </c>
      <c r="O64" s="1">
        <v>33.200000000000003</v>
      </c>
      <c r="P64" s="1" t="s">
        <v>704</v>
      </c>
      <c r="Q64" s="1">
        <v>0.3</v>
      </c>
      <c r="R64" s="1">
        <v>27</v>
      </c>
      <c r="S64" s="1">
        <v>35</v>
      </c>
      <c r="T64" s="1">
        <v>0.3</v>
      </c>
      <c r="U64" s="1">
        <v>1.4999999999999999E-2</v>
      </c>
      <c r="V64" s="1">
        <v>14</v>
      </c>
      <c r="Y64" t="s">
        <v>852</v>
      </c>
      <c r="Z64" s="1">
        <v>60</v>
      </c>
      <c r="AA64" s="1">
        <v>95</v>
      </c>
      <c r="AB64" s="1">
        <v>18</v>
      </c>
      <c r="AC64" s="1">
        <v>37.4</v>
      </c>
      <c r="AD64" s="1">
        <v>44</v>
      </c>
      <c r="AE64" s="1">
        <v>5.3</v>
      </c>
      <c r="AF64" s="1">
        <v>8000</v>
      </c>
      <c r="AG64" s="1">
        <v>13000</v>
      </c>
      <c r="AH64" s="1">
        <v>0.5</v>
      </c>
      <c r="AI64" s="1" t="s">
        <v>853</v>
      </c>
      <c r="AJ64" s="1"/>
      <c r="AK64" s="1">
        <v>60</v>
      </c>
      <c r="AL64" s="1" t="s">
        <v>704</v>
      </c>
      <c r="AM64" s="1">
        <v>81.599999999999994</v>
      </c>
      <c r="AN64" s="1">
        <v>69.5</v>
      </c>
      <c r="AO64" s="1">
        <v>1.1000000000000001</v>
      </c>
      <c r="AP64" s="1">
        <v>1</v>
      </c>
      <c r="AQ64" s="1">
        <v>2.9</v>
      </c>
      <c r="AR64" s="1">
        <v>64.7</v>
      </c>
      <c r="AS64" s="1">
        <v>68</v>
      </c>
      <c r="AT64" s="1">
        <v>71</v>
      </c>
      <c r="AU64" s="1">
        <v>88</v>
      </c>
      <c r="AV64" s="1">
        <v>1</v>
      </c>
      <c r="AW64" s="1">
        <v>1</v>
      </c>
      <c r="AX64" s="1">
        <v>0.15</v>
      </c>
    </row>
    <row r="65" spans="2:50">
      <c r="B65" t="str">
        <f t="shared" si="0"/>
        <v>ID/OD(mm): 20/42, C/C0(kN): 7.28/4.05</v>
      </c>
      <c r="C65" s="101">
        <v>20</v>
      </c>
      <c r="D65" s="101">
        <v>42</v>
      </c>
      <c r="E65" s="101">
        <v>8</v>
      </c>
      <c r="F65" s="93">
        <v>7.28</v>
      </c>
      <c r="G65" s="101">
        <v>4.05</v>
      </c>
      <c r="H65" s="101">
        <v>0.17299999999999999</v>
      </c>
      <c r="I65" s="101">
        <v>38000</v>
      </c>
      <c r="J65" s="101">
        <v>24000</v>
      </c>
      <c r="K65" s="1">
        <v>0.05</v>
      </c>
      <c r="L65" s="1" t="s">
        <v>854</v>
      </c>
      <c r="N65" s="1">
        <v>25.5</v>
      </c>
      <c r="O65" s="1">
        <v>31.4</v>
      </c>
      <c r="P65" s="1">
        <v>32.700000000000003</v>
      </c>
      <c r="Q65" s="1">
        <v>0.3</v>
      </c>
      <c r="R65" s="1">
        <v>22</v>
      </c>
      <c r="S65" s="1">
        <v>35</v>
      </c>
      <c r="T65" s="1">
        <v>0.3</v>
      </c>
      <c r="U65" s="1">
        <v>0.02</v>
      </c>
      <c r="V65" s="1">
        <v>15</v>
      </c>
      <c r="Y65" t="s">
        <v>855</v>
      </c>
      <c r="Z65" s="1">
        <v>60</v>
      </c>
      <c r="AA65" s="1">
        <v>110</v>
      </c>
      <c r="AB65" s="1">
        <v>22</v>
      </c>
      <c r="AC65" s="1">
        <v>108</v>
      </c>
      <c r="AD65" s="1">
        <v>102</v>
      </c>
      <c r="AE65" s="1">
        <v>13.4</v>
      </c>
      <c r="AF65" s="1">
        <v>6700</v>
      </c>
      <c r="AG65" s="1">
        <v>7500</v>
      </c>
      <c r="AH65" s="1">
        <v>0.8</v>
      </c>
      <c r="AI65" s="1" t="s">
        <v>856</v>
      </c>
      <c r="AJ65" s="1"/>
      <c r="AK65" s="1"/>
      <c r="AL65" s="1">
        <v>77.5</v>
      </c>
      <c r="AM65" s="1">
        <v>95.7</v>
      </c>
      <c r="AN65" s="1">
        <v>72</v>
      </c>
      <c r="AO65" s="1">
        <v>1.5</v>
      </c>
      <c r="AP65" s="1">
        <v>1.5</v>
      </c>
      <c r="AQ65" s="1">
        <v>1.4</v>
      </c>
      <c r="AR65" s="1">
        <v>68</v>
      </c>
      <c r="AS65" s="1">
        <v>70</v>
      </c>
      <c r="AT65" s="1">
        <v>74</v>
      </c>
      <c r="AU65" s="1">
        <v>101</v>
      </c>
      <c r="AV65" s="1">
        <v>1.5</v>
      </c>
      <c r="AW65" s="1">
        <v>1.5</v>
      </c>
      <c r="AX65" s="1">
        <v>0.15</v>
      </c>
    </row>
    <row r="66" spans="2:50">
      <c r="B66" t="str">
        <f t="shared" si="0"/>
        <v>ID/OD(mm): 30/47, C/C0(kN): 7.28/4.55</v>
      </c>
      <c r="C66" s="101">
        <v>30</v>
      </c>
      <c r="D66" s="101">
        <v>47</v>
      </c>
      <c r="E66" s="101">
        <v>9</v>
      </c>
      <c r="F66" s="93">
        <v>7.28</v>
      </c>
      <c r="G66" s="101">
        <v>4.55</v>
      </c>
      <c r="H66" s="101">
        <v>0.21199999999999999</v>
      </c>
      <c r="I66" s="101">
        <v>30000</v>
      </c>
      <c r="J66" s="101">
        <v>19000</v>
      </c>
      <c r="K66" s="1">
        <v>4.9000000000000002E-2</v>
      </c>
      <c r="L66" s="1" t="s">
        <v>857</v>
      </c>
      <c r="M66" s="1">
        <v>30</v>
      </c>
      <c r="N66" s="1">
        <v>33.700000000000003</v>
      </c>
      <c r="O66" s="1">
        <v>38.4</v>
      </c>
      <c r="P66" s="1" t="s">
        <v>704</v>
      </c>
      <c r="Q66" s="1">
        <v>0.3</v>
      </c>
      <c r="R66" s="1">
        <v>32</v>
      </c>
      <c r="S66" s="1">
        <v>40</v>
      </c>
      <c r="T66" s="1">
        <v>0.3</v>
      </c>
      <c r="U66" s="1">
        <v>1.4999999999999999E-2</v>
      </c>
      <c r="V66" s="1">
        <v>14</v>
      </c>
      <c r="Y66" t="s">
        <v>858</v>
      </c>
      <c r="Z66" s="1">
        <v>60</v>
      </c>
      <c r="AA66" s="1">
        <v>110</v>
      </c>
      <c r="AB66" s="1">
        <v>28</v>
      </c>
      <c r="AC66" s="1">
        <v>146</v>
      </c>
      <c r="AD66" s="1">
        <v>153</v>
      </c>
      <c r="AE66" s="1">
        <v>20</v>
      </c>
      <c r="AF66" s="1">
        <v>6700</v>
      </c>
      <c r="AG66" s="1">
        <v>7500</v>
      </c>
      <c r="AH66" s="1">
        <v>1.05</v>
      </c>
      <c r="AI66" s="1" t="s">
        <v>859</v>
      </c>
      <c r="AJ66" s="1"/>
      <c r="AK66" s="1"/>
      <c r="AL66" s="1">
        <v>77.5</v>
      </c>
      <c r="AM66" s="1">
        <v>95.7</v>
      </c>
      <c r="AN66" s="1">
        <v>72</v>
      </c>
      <c r="AO66" s="1">
        <v>1.5</v>
      </c>
      <c r="AP66" s="1">
        <v>1.5</v>
      </c>
      <c r="AQ66" s="1">
        <v>1.4</v>
      </c>
      <c r="AR66" s="1">
        <v>68</v>
      </c>
      <c r="AS66" s="1">
        <v>70</v>
      </c>
      <c r="AT66" s="1">
        <v>74</v>
      </c>
      <c r="AU66" s="1">
        <v>101</v>
      </c>
      <c r="AV66" s="1">
        <v>1.5</v>
      </c>
      <c r="AW66" s="1">
        <v>1.5</v>
      </c>
      <c r="AX66" s="1">
        <v>0.2</v>
      </c>
    </row>
    <row r="67" spans="2:50">
      <c r="B67" t="str">
        <f t="shared" si="0"/>
        <v>ID/OD(mm): 12/32, C/C0(kN): 7.28/3.1</v>
      </c>
      <c r="C67" s="101">
        <v>12</v>
      </c>
      <c r="D67" s="101">
        <v>32</v>
      </c>
      <c r="E67" s="101">
        <v>10</v>
      </c>
      <c r="F67" s="93">
        <v>7.28</v>
      </c>
      <c r="G67" s="101">
        <v>3.1</v>
      </c>
      <c r="H67" s="101">
        <v>0.13200000000000001</v>
      </c>
      <c r="I67" s="101">
        <v>50000</v>
      </c>
      <c r="J67" s="101">
        <v>32000</v>
      </c>
      <c r="K67" s="1">
        <v>3.6999999999999998E-2</v>
      </c>
      <c r="L67" s="1" t="s">
        <v>860</v>
      </c>
      <c r="N67" s="1">
        <v>17</v>
      </c>
      <c r="O67" s="1">
        <v>23.4</v>
      </c>
      <c r="P67" s="1">
        <v>24.8</v>
      </c>
      <c r="Q67" s="1">
        <v>0.3</v>
      </c>
      <c r="R67" s="1">
        <v>14.4</v>
      </c>
      <c r="S67" s="1">
        <v>27.6</v>
      </c>
      <c r="T67" s="1">
        <v>0.3</v>
      </c>
      <c r="U67" s="1">
        <v>2.5000000000000001E-2</v>
      </c>
      <c r="V67" s="1">
        <v>13</v>
      </c>
      <c r="Y67" t="s">
        <v>861</v>
      </c>
      <c r="Z67" s="1">
        <v>60</v>
      </c>
      <c r="AA67" s="1">
        <v>130</v>
      </c>
      <c r="AB67" s="1">
        <v>31</v>
      </c>
      <c r="AC67" s="1">
        <v>173</v>
      </c>
      <c r="AD67" s="1">
        <v>160</v>
      </c>
      <c r="AE67" s="1">
        <v>21.2</v>
      </c>
      <c r="AF67" s="1">
        <v>5600</v>
      </c>
      <c r="AG67" s="1">
        <v>6700</v>
      </c>
      <c r="AH67" s="1">
        <v>1.75</v>
      </c>
      <c r="AI67" s="1" t="s">
        <v>862</v>
      </c>
      <c r="AJ67" s="1"/>
      <c r="AK67" s="1"/>
      <c r="AL67" s="1">
        <v>84.3</v>
      </c>
      <c r="AM67" s="1">
        <v>110</v>
      </c>
      <c r="AN67" s="1">
        <v>77</v>
      </c>
      <c r="AO67" s="1">
        <v>2.1</v>
      </c>
      <c r="AP67" s="1">
        <v>2.1</v>
      </c>
      <c r="AQ67" s="1">
        <v>2.1</v>
      </c>
      <c r="AR67" s="1">
        <v>72</v>
      </c>
      <c r="AS67" s="1">
        <v>74</v>
      </c>
      <c r="AT67" s="1">
        <v>79</v>
      </c>
      <c r="AU67" s="1">
        <v>118</v>
      </c>
      <c r="AV67" s="1">
        <v>2</v>
      </c>
      <c r="AW67" s="1">
        <v>2</v>
      </c>
      <c r="AX67" s="1">
        <v>0.15</v>
      </c>
    </row>
    <row r="68" spans="2:50">
      <c r="B68" t="str">
        <f t="shared" si="0"/>
        <v>ID/OD(mm): 25/47, C/C0(kN): 8.06/4.75</v>
      </c>
      <c r="C68" s="101">
        <v>25</v>
      </c>
      <c r="D68" s="101">
        <v>47</v>
      </c>
      <c r="E68" s="101">
        <v>8</v>
      </c>
      <c r="F68" s="93">
        <v>8.06</v>
      </c>
      <c r="G68" s="101">
        <v>4.75</v>
      </c>
      <c r="H68" s="101">
        <v>0.21199999999999999</v>
      </c>
      <c r="I68" s="101">
        <v>32000</v>
      </c>
      <c r="J68" s="101">
        <v>20000</v>
      </c>
      <c r="K68" s="1">
        <v>0.06</v>
      </c>
      <c r="L68" s="1" t="s">
        <v>863</v>
      </c>
      <c r="N68" s="1">
        <v>30.2</v>
      </c>
      <c r="O68" s="1">
        <v>36.799999999999997</v>
      </c>
      <c r="P68" s="1">
        <v>37.700000000000003</v>
      </c>
      <c r="Q68" s="1">
        <v>0.3</v>
      </c>
      <c r="R68" s="1">
        <v>27</v>
      </c>
      <c r="S68" s="1">
        <v>40</v>
      </c>
      <c r="T68" s="1">
        <v>0.3</v>
      </c>
      <c r="U68" s="1">
        <v>0.02</v>
      </c>
      <c r="V68" s="1">
        <v>15</v>
      </c>
      <c r="Y68" t="s">
        <v>864</v>
      </c>
      <c r="Z68" s="1">
        <v>60</v>
      </c>
      <c r="AA68" s="1">
        <v>130</v>
      </c>
      <c r="AB68" s="1">
        <v>46</v>
      </c>
      <c r="AC68" s="1">
        <v>260</v>
      </c>
      <c r="AD68" s="1">
        <v>265</v>
      </c>
      <c r="AE68" s="1">
        <v>34.5</v>
      </c>
      <c r="AF68" s="1">
        <v>5600</v>
      </c>
      <c r="AG68" s="1">
        <v>6700</v>
      </c>
      <c r="AH68" s="1">
        <v>2.75</v>
      </c>
      <c r="AI68" s="1" t="s">
        <v>865</v>
      </c>
      <c r="AJ68" s="1"/>
      <c r="AK68" s="1"/>
      <c r="AL68" s="1">
        <v>84.3</v>
      </c>
      <c r="AM68" s="1">
        <v>110</v>
      </c>
      <c r="AN68" s="1">
        <v>77</v>
      </c>
      <c r="AO68" s="1">
        <v>2.1</v>
      </c>
      <c r="AP68" s="1">
        <v>2.1</v>
      </c>
      <c r="AQ68" s="1">
        <v>3.6</v>
      </c>
      <c r="AR68" s="1">
        <v>72</v>
      </c>
      <c r="AS68" s="1">
        <v>74</v>
      </c>
      <c r="AT68" s="1">
        <v>79</v>
      </c>
      <c r="AU68" s="1">
        <v>118</v>
      </c>
      <c r="AV68" s="1">
        <v>2</v>
      </c>
      <c r="AW68" s="1">
        <v>2</v>
      </c>
      <c r="AX68" s="1">
        <v>0.25</v>
      </c>
    </row>
    <row r="69" spans="2:50">
      <c r="B69" t="str">
        <f t="shared" si="0"/>
        <v>ID/OD(mm): 15/35, C/C0(kN): 8.06/3.75</v>
      </c>
      <c r="C69" s="101">
        <v>15</v>
      </c>
      <c r="D69" s="101">
        <v>35</v>
      </c>
      <c r="E69" s="101">
        <v>11</v>
      </c>
      <c r="F69" s="93">
        <v>8.06</v>
      </c>
      <c r="G69" s="101">
        <v>3.75</v>
      </c>
      <c r="H69" s="101">
        <v>0.16</v>
      </c>
      <c r="I69" s="101">
        <v>43000</v>
      </c>
      <c r="J69" s="101">
        <v>28000</v>
      </c>
      <c r="K69" s="1">
        <v>4.4999999999999998E-2</v>
      </c>
      <c r="L69" s="1" t="s">
        <v>866</v>
      </c>
      <c r="N69" s="1">
        <v>20.5</v>
      </c>
      <c r="O69" s="1">
        <v>26.7</v>
      </c>
      <c r="P69" s="1">
        <v>28.2</v>
      </c>
      <c r="Q69" s="1">
        <v>0.3</v>
      </c>
      <c r="R69" s="1">
        <v>17</v>
      </c>
      <c r="S69" s="1">
        <v>30</v>
      </c>
      <c r="T69" s="1">
        <v>0.3</v>
      </c>
      <c r="U69" s="1">
        <v>2.5000000000000001E-2</v>
      </c>
      <c r="V69" s="1">
        <v>14</v>
      </c>
      <c r="Y69" t="s">
        <v>867</v>
      </c>
      <c r="Z69" s="1">
        <v>60</v>
      </c>
      <c r="AA69" s="1">
        <v>150</v>
      </c>
      <c r="AB69" s="1">
        <v>35</v>
      </c>
      <c r="AC69" s="1">
        <v>168</v>
      </c>
      <c r="AD69" s="1">
        <v>173</v>
      </c>
      <c r="AE69" s="1">
        <v>22</v>
      </c>
      <c r="AF69" s="1">
        <v>5000</v>
      </c>
      <c r="AG69" s="1">
        <v>6000</v>
      </c>
      <c r="AH69" s="1">
        <v>3</v>
      </c>
      <c r="AI69" s="1" t="s">
        <v>868</v>
      </c>
      <c r="AJ69" s="1"/>
      <c r="AK69" s="1"/>
      <c r="AL69" s="1" t="s">
        <v>704</v>
      </c>
      <c r="AM69" s="1">
        <v>117</v>
      </c>
      <c r="AN69" s="1">
        <v>83</v>
      </c>
      <c r="AO69" s="1">
        <v>2.1</v>
      </c>
      <c r="AP69" s="1">
        <v>2.1</v>
      </c>
      <c r="AQ69" s="1">
        <v>2.5</v>
      </c>
      <c r="AR69" s="1">
        <v>74</v>
      </c>
      <c r="AS69" s="1">
        <v>80</v>
      </c>
      <c r="AT69" s="1">
        <v>85</v>
      </c>
      <c r="AU69" s="1">
        <v>136</v>
      </c>
      <c r="AV69" s="1">
        <v>2</v>
      </c>
      <c r="AW69" s="1">
        <v>2</v>
      </c>
      <c r="AX69" s="1">
        <v>0.15</v>
      </c>
    </row>
    <row r="70" spans="2:50">
      <c r="B70" t="str">
        <f t="shared" si="0"/>
        <v>ID/OD(mm): 10/35, C/C0(kN): 8.52/3.4</v>
      </c>
      <c r="C70" s="101">
        <v>10</v>
      </c>
      <c r="D70" s="101">
        <v>35</v>
      </c>
      <c r="E70" s="101">
        <v>11</v>
      </c>
      <c r="F70" s="93">
        <v>8.52</v>
      </c>
      <c r="G70" s="101">
        <v>3.4</v>
      </c>
      <c r="H70" s="101">
        <v>0.14299999999999999</v>
      </c>
      <c r="I70" s="101">
        <v>50000</v>
      </c>
      <c r="J70" s="101">
        <v>32000</v>
      </c>
      <c r="K70" s="1">
        <v>5.2999999999999999E-2</v>
      </c>
      <c r="L70" s="1" t="s">
        <v>869</v>
      </c>
      <c r="N70" s="1">
        <v>17</v>
      </c>
      <c r="O70" s="1">
        <v>23.2</v>
      </c>
      <c r="P70" s="1">
        <v>24.8</v>
      </c>
      <c r="Q70" s="1">
        <v>0.6</v>
      </c>
      <c r="R70" s="1">
        <v>14.2</v>
      </c>
      <c r="S70" s="1">
        <v>25.8</v>
      </c>
      <c r="T70" s="1">
        <v>0.6</v>
      </c>
      <c r="U70" s="1">
        <v>2.5000000000000001E-2</v>
      </c>
      <c r="V70" s="1">
        <v>13</v>
      </c>
      <c r="Y70" t="s">
        <v>870</v>
      </c>
      <c r="Z70" s="1">
        <v>65</v>
      </c>
      <c r="AA70" s="1">
        <v>100</v>
      </c>
      <c r="AB70" s="1">
        <v>18</v>
      </c>
      <c r="AC70" s="1">
        <v>62.7</v>
      </c>
      <c r="AD70" s="1">
        <v>81.5</v>
      </c>
      <c r="AE70" s="1">
        <v>9.8000000000000007</v>
      </c>
      <c r="AF70" s="1">
        <v>7500</v>
      </c>
      <c r="AG70" s="1">
        <v>7500</v>
      </c>
      <c r="AH70" s="1">
        <v>0.45</v>
      </c>
      <c r="AI70" s="1" t="s">
        <v>871</v>
      </c>
      <c r="AJ70" s="1"/>
      <c r="AK70" s="1">
        <v>65</v>
      </c>
      <c r="AL70" s="1" t="s">
        <v>704</v>
      </c>
      <c r="AM70" s="1">
        <v>88.5</v>
      </c>
      <c r="AN70" s="1">
        <v>74</v>
      </c>
      <c r="AO70" s="1">
        <v>1.1000000000000001</v>
      </c>
      <c r="AP70" s="1">
        <v>1</v>
      </c>
      <c r="AQ70" s="1">
        <v>1</v>
      </c>
      <c r="AR70" s="1">
        <v>69.599999999999994</v>
      </c>
      <c r="AS70" s="1">
        <v>72</v>
      </c>
      <c r="AT70" s="1">
        <v>76</v>
      </c>
      <c r="AU70" s="1">
        <v>94</v>
      </c>
      <c r="AV70" s="1">
        <v>1</v>
      </c>
      <c r="AW70" s="1">
        <v>1</v>
      </c>
      <c r="AX70" s="1">
        <v>0.1</v>
      </c>
    </row>
    <row r="71" spans="2:50">
      <c r="B71" t="str">
        <f t="shared" si="0"/>
        <v>ID/OD(mm): 55/72, C/C0(kN): 9/8.8</v>
      </c>
      <c r="C71" s="101">
        <v>55</v>
      </c>
      <c r="D71" s="101">
        <v>72</v>
      </c>
      <c r="E71" s="101">
        <v>9</v>
      </c>
      <c r="F71" s="93">
        <v>9</v>
      </c>
      <c r="G71" s="101">
        <v>8.8000000000000007</v>
      </c>
      <c r="H71" s="101">
        <v>0.375</v>
      </c>
      <c r="I71" s="101">
        <v>19000</v>
      </c>
      <c r="J71" s="101">
        <v>12000</v>
      </c>
      <c r="K71" s="1">
        <v>8.3000000000000004E-2</v>
      </c>
      <c r="L71" s="1" t="s">
        <v>872</v>
      </c>
      <c r="N71" s="1">
        <v>75.400000000000006</v>
      </c>
      <c r="O71" s="1">
        <v>105</v>
      </c>
      <c r="P71" s="1" t="s">
        <v>704</v>
      </c>
      <c r="Q71" s="1">
        <v>2.1</v>
      </c>
      <c r="R71" s="1">
        <v>64</v>
      </c>
      <c r="S71" s="1">
        <v>116</v>
      </c>
      <c r="T71" s="1">
        <v>2</v>
      </c>
      <c r="U71" s="1">
        <v>3.5000000000000003E-2</v>
      </c>
      <c r="V71" s="1">
        <v>12</v>
      </c>
      <c r="Y71" t="s">
        <v>873</v>
      </c>
      <c r="Z71" s="1">
        <v>65</v>
      </c>
      <c r="AA71" s="1">
        <v>120</v>
      </c>
      <c r="AB71" s="1">
        <v>23</v>
      </c>
      <c r="AC71" s="1">
        <v>122</v>
      </c>
      <c r="AD71" s="1">
        <v>118</v>
      </c>
      <c r="AE71" s="1">
        <v>15.6</v>
      </c>
      <c r="AF71" s="1">
        <v>6300</v>
      </c>
      <c r="AG71" s="1">
        <v>6700</v>
      </c>
      <c r="AH71" s="1">
        <v>1.05</v>
      </c>
      <c r="AI71" s="1" t="s">
        <v>874</v>
      </c>
      <c r="AJ71" s="1"/>
      <c r="AK71" s="1"/>
      <c r="AL71" s="1">
        <v>84.4</v>
      </c>
      <c r="AM71" s="1">
        <v>104</v>
      </c>
      <c r="AN71" s="1">
        <v>78.5</v>
      </c>
      <c r="AO71" s="1">
        <v>1.5</v>
      </c>
      <c r="AP71" s="1">
        <v>1.5</v>
      </c>
      <c r="AQ71" s="1">
        <v>1.4</v>
      </c>
      <c r="AR71" s="1">
        <v>74</v>
      </c>
      <c r="AS71" s="1">
        <v>76</v>
      </c>
      <c r="AT71" s="1">
        <v>81</v>
      </c>
      <c r="AU71" s="1">
        <v>110</v>
      </c>
      <c r="AV71" s="1">
        <v>1.5</v>
      </c>
      <c r="AW71" s="1">
        <v>1.5</v>
      </c>
      <c r="AX71" s="1">
        <v>0.15</v>
      </c>
    </row>
    <row r="72" spans="2:50">
      <c r="B72" t="str">
        <f t="shared" si="0"/>
        <v>ID/OD(mm): 17/40, C/C0(kN): 9.95/4.75</v>
      </c>
      <c r="C72" s="101">
        <v>17</v>
      </c>
      <c r="D72" s="101">
        <v>40</v>
      </c>
      <c r="E72" s="101">
        <v>12</v>
      </c>
      <c r="F72" s="93">
        <v>9.9499999999999993</v>
      </c>
      <c r="G72" s="101">
        <v>4.75</v>
      </c>
      <c r="H72" s="101">
        <v>0.2</v>
      </c>
      <c r="I72" s="101">
        <v>38000</v>
      </c>
      <c r="J72" s="101">
        <v>24000</v>
      </c>
      <c r="K72" s="1">
        <v>6.5000000000000002E-2</v>
      </c>
      <c r="L72" s="1" t="s">
        <v>875</v>
      </c>
      <c r="N72" s="1">
        <v>23</v>
      </c>
      <c r="O72" s="1">
        <v>29.2</v>
      </c>
      <c r="P72" s="1">
        <v>31.2</v>
      </c>
      <c r="Q72" s="1">
        <v>0.3</v>
      </c>
      <c r="R72" s="1">
        <v>19</v>
      </c>
      <c r="S72" s="1">
        <v>33</v>
      </c>
      <c r="T72" s="1">
        <v>0.3</v>
      </c>
      <c r="U72" s="1">
        <v>2.5000000000000001E-2</v>
      </c>
      <c r="V72" s="1">
        <v>14</v>
      </c>
      <c r="Y72" t="s">
        <v>876</v>
      </c>
      <c r="Z72" s="1">
        <v>65</v>
      </c>
      <c r="AA72" s="1">
        <v>120</v>
      </c>
      <c r="AB72" s="1">
        <v>31</v>
      </c>
      <c r="AC72" s="1">
        <v>170</v>
      </c>
      <c r="AD72" s="1">
        <v>180</v>
      </c>
      <c r="AE72" s="1">
        <v>24</v>
      </c>
      <c r="AF72" s="1">
        <v>6300</v>
      </c>
      <c r="AG72" s="1">
        <v>6700</v>
      </c>
      <c r="AH72" s="1">
        <v>1.4</v>
      </c>
      <c r="AI72" s="1" t="s">
        <v>877</v>
      </c>
      <c r="AJ72" s="1"/>
      <c r="AK72" s="1"/>
      <c r="AL72" s="1">
        <v>84.4</v>
      </c>
      <c r="AM72" s="1">
        <v>104</v>
      </c>
      <c r="AN72" s="1">
        <v>78.5</v>
      </c>
      <c r="AO72" s="1">
        <v>1.5</v>
      </c>
      <c r="AP72" s="1">
        <v>1.5</v>
      </c>
      <c r="AQ72" s="1">
        <v>1.9</v>
      </c>
      <c r="AR72" s="1">
        <v>74</v>
      </c>
      <c r="AS72" s="1">
        <v>76</v>
      </c>
      <c r="AT72" s="1">
        <v>81</v>
      </c>
      <c r="AU72" s="1">
        <v>110</v>
      </c>
      <c r="AV72" s="1">
        <v>1.5</v>
      </c>
      <c r="AW72" s="1">
        <v>1.5</v>
      </c>
      <c r="AX72" s="1">
        <v>0.2</v>
      </c>
    </row>
    <row r="73" spans="2:50">
      <c r="B73" t="str">
        <f t="shared" si="0"/>
        <v>ID/OD(mm): 20/42, C/C0(kN): 9.95/5</v>
      </c>
      <c r="C73" s="101">
        <v>20</v>
      </c>
      <c r="D73" s="101">
        <v>42</v>
      </c>
      <c r="E73" s="101">
        <v>12</v>
      </c>
      <c r="F73" s="93">
        <v>9.9499999999999993</v>
      </c>
      <c r="G73" s="101">
        <v>5</v>
      </c>
      <c r="H73" s="101">
        <v>0.21199999999999999</v>
      </c>
      <c r="I73" s="101">
        <v>38000</v>
      </c>
      <c r="J73" s="101">
        <v>24000</v>
      </c>
      <c r="K73" s="1">
        <v>6.7000000000000004E-2</v>
      </c>
      <c r="L73" s="1" t="s">
        <v>878</v>
      </c>
      <c r="N73" s="1">
        <v>27.3</v>
      </c>
      <c r="O73" s="1">
        <v>34.6</v>
      </c>
      <c r="P73" s="1" t="s">
        <v>704</v>
      </c>
      <c r="Q73" s="1">
        <v>0.3</v>
      </c>
      <c r="R73" s="1">
        <v>22</v>
      </c>
      <c r="S73" s="1">
        <v>40</v>
      </c>
      <c r="T73" s="1">
        <v>0.3</v>
      </c>
      <c r="U73" s="1">
        <v>0.02</v>
      </c>
      <c r="V73" s="1">
        <v>15</v>
      </c>
      <c r="Y73" t="s">
        <v>879</v>
      </c>
      <c r="Z73" s="1">
        <v>65</v>
      </c>
      <c r="AA73" s="1">
        <v>140</v>
      </c>
      <c r="AB73" s="1">
        <v>33</v>
      </c>
      <c r="AC73" s="1">
        <v>212</v>
      </c>
      <c r="AD73" s="1">
        <v>196</v>
      </c>
      <c r="AE73" s="1">
        <v>25.5</v>
      </c>
      <c r="AF73" s="1">
        <v>5300</v>
      </c>
      <c r="AG73" s="1">
        <v>6000</v>
      </c>
      <c r="AH73" s="1">
        <v>2.2000000000000002</v>
      </c>
      <c r="AI73" s="1" t="s">
        <v>880</v>
      </c>
      <c r="AJ73" s="1"/>
      <c r="AK73" s="1" t="s">
        <v>881</v>
      </c>
      <c r="AL73" s="1">
        <v>90.5</v>
      </c>
      <c r="AM73" s="1">
        <v>119</v>
      </c>
      <c r="AN73" s="1">
        <v>82.5</v>
      </c>
      <c r="AO73" s="1">
        <v>2.1</v>
      </c>
      <c r="AP73" s="1">
        <v>2.1</v>
      </c>
      <c r="AQ73" s="1">
        <v>2.2000000000000002</v>
      </c>
      <c r="AR73" s="1">
        <v>77</v>
      </c>
      <c r="AS73" s="1">
        <v>80</v>
      </c>
      <c r="AT73" s="1">
        <v>85</v>
      </c>
      <c r="AU73" s="1">
        <v>127</v>
      </c>
      <c r="AV73" s="1">
        <v>2</v>
      </c>
      <c r="AW73" s="1">
        <v>2</v>
      </c>
      <c r="AX73" s="1">
        <v>0.15</v>
      </c>
    </row>
    <row r="74" spans="2:50">
      <c r="B74" t="str">
        <f t="shared" si="0"/>
        <v>ID/OD(mm): 12/37, C/C0(kN): 10.1/4.15</v>
      </c>
      <c r="C74" s="101">
        <v>12</v>
      </c>
      <c r="D74" s="101">
        <v>37</v>
      </c>
      <c r="E74" s="101">
        <v>12</v>
      </c>
      <c r="F74" s="93">
        <v>10.1</v>
      </c>
      <c r="G74" s="101">
        <v>4.1500000000000004</v>
      </c>
      <c r="H74" s="101">
        <v>0.17599999999999999</v>
      </c>
      <c r="I74" s="101">
        <v>45000</v>
      </c>
      <c r="J74" s="101">
        <v>28000</v>
      </c>
      <c r="K74" s="1">
        <v>0.06</v>
      </c>
      <c r="L74" s="1" t="s">
        <v>882</v>
      </c>
      <c r="N74" s="1">
        <v>18.399999999999999</v>
      </c>
      <c r="O74" s="1">
        <v>25.7</v>
      </c>
      <c r="P74" s="1">
        <v>27.4</v>
      </c>
      <c r="Q74" s="1">
        <v>0.6</v>
      </c>
      <c r="R74" s="1">
        <v>16.2</v>
      </c>
      <c r="S74" s="1">
        <v>27.8</v>
      </c>
      <c r="T74" s="1">
        <v>0.6</v>
      </c>
      <c r="U74" s="1">
        <v>2.5000000000000001E-2</v>
      </c>
      <c r="V74" s="1">
        <v>12</v>
      </c>
      <c r="Y74" t="s">
        <v>883</v>
      </c>
      <c r="Z74" s="1">
        <v>65</v>
      </c>
      <c r="AA74" s="1">
        <v>140</v>
      </c>
      <c r="AB74" s="1">
        <v>48</v>
      </c>
      <c r="AC74" s="1">
        <v>285</v>
      </c>
      <c r="AD74" s="1">
        <v>290</v>
      </c>
      <c r="AE74" s="1">
        <v>38</v>
      </c>
      <c r="AF74" s="1">
        <v>5300</v>
      </c>
      <c r="AG74" s="1">
        <v>6000</v>
      </c>
      <c r="AH74" s="1">
        <v>3.2</v>
      </c>
      <c r="AI74" s="1" t="s">
        <v>884</v>
      </c>
      <c r="AJ74" s="1"/>
      <c r="AK74" s="1"/>
      <c r="AL74" s="1">
        <v>90.5</v>
      </c>
      <c r="AM74" s="1">
        <v>119</v>
      </c>
      <c r="AN74" s="1">
        <v>82.5</v>
      </c>
      <c r="AO74" s="1">
        <v>2.1</v>
      </c>
      <c r="AP74" s="1">
        <v>2.1</v>
      </c>
      <c r="AQ74" s="1">
        <v>4.7</v>
      </c>
      <c r="AR74" s="1">
        <v>77</v>
      </c>
      <c r="AS74" s="1">
        <v>80</v>
      </c>
      <c r="AT74" s="1">
        <v>85</v>
      </c>
      <c r="AU74" s="1">
        <v>127</v>
      </c>
      <c r="AV74" s="1">
        <v>2</v>
      </c>
      <c r="AW74" s="1">
        <v>2</v>
      </c>
      <c r="AX74" s="1">
        <v>0.25</v>
      </c>
    </row>
    <row r="75" spans="2:50">
      <c r="B75" t="str">
        <f t="shared" si="0"/>
        <v>ID/OD(mm): 35/55, C/C0(kN): 10.8/7.8</v>
      </c>
      <c r="C75" s="101">
        <v>35</v>
      </c>
      <c r="D75" s="101">
        <v>55</v>
      </c>
      <c r="E75" s="101">
        <v>10</v>
      </c>
      <c r="F75" s="93">
        <v>10.8</v>
      </c>
      <c r="G75" s="101">
        <v>7.8</v>
      </c>
      <c r="H75" s="101">
        <v>0.32500000000000001</v>
      </c>
      <c r="I75" s="101">
        <v>26000</v>
      </c>
      <c r="J75" s="101">
        <v>16000</v>
      </c>
      <c r="K75" s="1">
        <v>0.08</v>
      </c>
      <c r="L75" s="1" t="s">
        <v>885</v>
      </c>
      <c r="M75" s="1">
        <v>35</v>
      </c>
      <c r="N75" s="1">
        <v>38.200000000000003</v>
      </c>
      <c r="O75" s="1">
        <v>42.8</v>
      </c>
      <c r="P75" s="1" t="s">
        <v>704</v>
      </c>
      <c r="Q75" s="1">
        <v>0.3</v>
      </c>
      <c r="R75" s="1">
        <v>37</v>
      </c>
      <c r="S75" s="1">
        <v>45</v>
      </c>
      <c r="T75" s="1">
        <v>0.3</v>
      </c>
      <c r="U75" s="1">
        <v>1.4999999999999999E-2</v>
      </c>
      <c r="V75" s="1">
        <v>14</v>
      </c>
      <c r="Y75" t="s">
        <v>886</v>
      </c>
      <c r="Z75" s="1">
        <v>65</v>
      </c>
      <c r="AA75" s="1">
        <v>160</v>
      </c>
      <c r="AB75" s="1">
        <v>37</v>
      </c>
      <c r="AC75" s="1">
        <v>183</v>
      </c>
      <c r="AD75" s="1">
        <v>190</v>
      </c>
      <c r="AE75" s="1">
        <v>24</v>
      </c>
      <c r="AF75" s="1">
        <v>4800</v>
      </c>
      <c r="AG75" s="1">
        <v>5600</v>
      </c>
      <c r="AH75" s="1">
        <v>3.55</v>
      </c>
      <c r="AI75" s="1" t="s">
        <v>887</v>
      </c>
      <c r="AJ75" s="1"/>
      <c r="AK75" s="1"/>
      <c r="AL75" s="1">
        <v>98.5</v>
      </c>
      <c r="AM75" s="1">
        <v>125</v>
      </c>
      <c r="AN75" s="1">
        <v>89.3</v>
      </c>
      <c r="AO75" s="1">
        <v>2.1</v>
      </c>
      <c r="AP75" s="1">
        <v>2.1</v>
      </c>
      <c r="AQ75" s="1">
        <v>2.6</v>
      </c>
      <c r="AR75" s="1">
        <v>78</v>
      </c>
      <c r="AS75" s="1">
        <v>86</v>
      </c>
      <c r="AT75" s="1">
        <v>91</v>
      </c>
      <c r="AU75" s="1">
        <v>146</v>
      </c>
      <c r="AV75" s="1">
        <v>2</v>
      </c>
      <c r="AW75" s="1">
        <v>2</v>
      </c>
      <c r="AX75" s="1">
        <v>0.15</v>
      </c>
    </row>
    <row r="76" spans="2:50">
      <c r="B76" t="str">
        <f t="shared" si="0"/>
        <v>ID/OD(mm): 17/40, C/C0(kN): 11.4/5.4</v>
      </c>
      <c r="C76" s="101">
        <v>17</v>
      </c>
      <c r="D76" s="101">
        <v>40</v>
      </c>
      <c r="E76" s="101">
        <v>12</v>
      </c>
      <c r="F76" s="93">
        <v>11.4</v>
      </c>
      <c r="G76" s="101">
        <v>5.4</v>
      </c>
      <c r="H76" s="101">
        <v>0.22800000000000001</v>
      </c>
      <c r="I76" s="101">
        <v>38000</v>
      </c>
      <c r="J76" s="101">
        <v>24000</v>
      </c>
      <c r="K76" s="1">
        <v>6.4000000000000001E-2</v>
      </c>
      <c r="L76" s="1" t="s">
        <v>888</v>
      </c>
      <c r="N76" s="1">
        <v>24.5</v>
      </c>
      <c r="O76" s="1">
        <v>32.700000000000003</v>
      </c>
      <c r="P76" s="1">
        <v>35</v>
      </c>
      <c r="Q76" s="1">
        <v>0.6</v>
      </c>
      <c r="R76" s="1">
        <v>21.2</v>
      </c>
      <c r="S76" s="1">
        <v>35.799999999999997</v>
      </c>
      <c r="T76" s="1">
        <v>0.6</v>
      </c>
      <c r="U76" s="1">
        <v>2.5000000000000001E-2</v>
      </c>
      <c r="V76" s="1">
        <v>13</v>
      </c>
      <c r="Y76" t="s">
        <v>889</v>
      </c>
      <c r="Z76" s="1">
        <v>70</v>
      </c>
      <c r="AA76" s="1">
        <v>110</v>
      </c>
      <c r="AB76" s="1">
        <v>20</v>
      </c>
      <c r="AC76" s="1">
        <v>76.5</v>
      </c>
      <c r="AD76" s="1">
        <v>93</v>
      </c>
      <c r="AE76" s="1">
        <v>12</v>
      </c>
      <c r="AF76" s="1">
        <v>7000</v>
      </c>
      <c r="AG76" s="1">
        <v>7000</v>
      </c>
      <c r="AH76" s="1">
        <v>0.62</v>
      </c>
      <c r="AI76" s="1" t="s">
        <v>890</v>
      </c>
      <c r="AJ76" s="1"/>
      <c r="AK76" s="1">
        <v>70</v>
      </c>
      <c r="AL76" s="1">
        <v>84</v>
      </c>
      <c r="AM76" s="1">
        <v>97.5</v>
      </c>
      <c r="AN76" s="1">
        <v>79.5</v>
      </c>
      <c r="AO76" s="1">
        <v>1.1000000000000001</v>
      </c>
      <c r="AP76" s="1">
        <v>1</v>
      </c>
      <c r="AQ76" s="1">
        <v>1.3</v>
      </c>
      <c r="AR76" s="1">
        <v>74.599999999999994</v>
      </c>
      <c r="AS76" s="1">
        <v>78</v>
      </c>
      <c r="AT76" s="1">
        <v>82</v>
      </c>
      <c r="AU76" s="1">
        <v>104</v>
      </c>
      <c r="AV76" s="1">
        <v>1</v>
      </c>
      <c r="AW76" s="1">
        <v>1</v>
      </c>
      <c r="AX76" s="1">
        <v>0.1</v>
      </c>
    </row>
    <row r="77" spans="2:50">
      <c r="B77" t="str">
        <f t="shared" si="0"/>
        <v>ID/OD(mm): 30/55, C/C0(kN): 11.9/7.35</v>
      </c>
      <c r="C77" s="101">
        <v>30</v>
      </c>
      <c r="D77" s="101">
        <v>55</v>
      </c>
      <c r="E77" s="101">
        <v>9</v>
      </c>
      <c r="F77" s="93">
        <v>11.9</v>
      </c>
      <c r="G77" s="101">
        <v>7.35</v>
      </c>
      <c r="H77" s="101">
        <v>0.31</v>
      </c>
      <c r="I77" s="101">
        <v>28000</v>
      </c>
      <c r="J77" s="101">
        <v>17000</v>
      </c>
      <c r="K77" s="1">
        <v>8.8999999999999996E-2</v>
      </c>
      <c r="L77" s="1" t="s">
        <v>891</v>
      </c>
      <c r="N77" s="1">
        <v>35.200000000000003</v>
      </c>
      <c r="O77" s="1">
        <v>41.7</v>
      </c>
      <c r="P77" s="1">
        <v>42.7</v>
      </c>
      <c r="Q77" s="1">
        <v>0.3</v>
      </c>
      <c r="R77" s="1">
        <v>32</v>
      </c>
      <c r="S77" s="1">
        <v>45</v>
      </c>
      <c r="T77" s="1">
        <v>0.3</v>
      </c>
      <c r="U77" s="1">
        <v>0.02</v>
      </c>
      <c r="V77" s="1">
        <v>14</v>
      </c>
      <c r="Y77" t="s">
        <v>892</v>
      </c>
      <c r="Z77" s="1">
        <v>70</v>
      </c>
      <c r="AA77" s="1">
        <v>125</v>
      </c>
      <c r="AB77" s="1">
        <v>24</v>
      </c>
      <c r="AC77" s="1">
        <v>137</v>
      </c>
      <c r="AD77" s="1">
        <v>137</v>
      </c>
      <c r="AE77" s="1">
        <v>18</v>
      </c>
      <c r="AF77" s="1">
        <v>6000</v>
      </c>
      <c r="AG77" s="1">
        <v>6300</v>
      </c>
      <c r="AH77" s="1">
        <v>1.1499999999999999</v>
      </c>
      <c r="AI77" s="1" t="s">
        <v>893</v>
      </c>
      <c r="AJ77" s="1"/>
      <c r="AK77" s="1"/>
      <c r="AL77" s="1">
        <v>89.4</v>
      </c>
      <c r="AM77" s="1">
        <v>109</v>
      </c>
      <c r="AN77" s="1">
        <v>83.5</v>
      </c>
      <c r="AO77" s="1">
        <v>1.5</v>
      </c>
      <c r="AP77" s="1">
        <v>1.5</v>
      </c>
      <c r="AQ77" s="1">
        <v>1.2</v>
      </c>
      <c r="AR77" s="1">
        <v>79</v>
      </c>
      <c r="AS77" s="1">
        <v>81</v>
      </c>
      <c r="AT77" s="1">
        <v>86</v>
      </c>
      <c r="AU77" s="1">
        <v>115</v>
      </c>
      <c r="AV77" s="1">
        <v>1.5</v>
      </c>
      <c r="AW77" s="1">
        <v>1.5</v>
      </c>
      <c r="AX77" s="1">
        <v>0.15</v>
      </c>
    </row>
    <row r="78" spans="2:50">
      <c r="B78" t="str">
        <f t="shared" ref="B78:B141" si="1">CONCATENATE("ID/OD(mm): ",C78,"/",D78,", C/C0(kN): ",F78,"/",G78)</f>
        <v>ID/OD(mm): 60/78, C/C0(kN): 11.9/11.4</v>
      </c>
      <c r="C78" s="101">
        <v>60</v>
      </c>
      <c r="D78" s="101">
        <v>78</v>
      </c>
      <c r="E78" s="101">
        <v>10</v>
      </c>
      <c r="F78" s="93">
        <v>11.9</v>
      </c>
      <c r="G78" s="101">
        <v>11.4</v>
      </c>
      <c r="H78" s="101">
        <v>0.49</v>
      </c>
      <c r="I78" s="101">
        <v>17000</v>
      </c>
      <c r="J78" s="101">
        <v>11000</v>
      </c>
      <c r="K78" s="1">
        <v>0.11</v>
      </c>
      <c r="L78" s="1" t="s">
        <v>894</v>
      </c>
      <c r="N78" s="1">
        <v>81.5</v>
      </c>
      <c r="O78" s="1">
        <v>114</v>
      </c>
      <c r="P78" s="1" t="s">
        <v>704</v>
      </c>
      <c r="Q78" s="1">
        <v>2.1</v>
      </c>
      <c r="R78" s="1">
        <v>69</v>
      </c>
      <c r="S78" s="1">
        <v>126</v>
      </c>
      <c r="T78" s="1">
        <v>2</v>
      </c>
      <c r="U78" s="1">
        <v>3.5000000000000003E-2</v>
      </c>
      <c r="V78" s="1">
        <v>12</v>
      </c>
      <c r="Y78" t="s">
        <v>895</v>
      </c>
      <c r="Z78" s="1">
        <v>70</v>
      </c>
      <c r="AA78" s="1">
        <v>125</v>
      </c>
      <c r="AB78" s="1">
        <v>31</v>
      </c>
      <c r="AC78" s="1">
        <v>180</v>
      </c>
      <c r="AD78" s="1">
        <v>193</v>
      </c>
      <c r="AE78" s="1">
        <v>25.5</v>
      </c>
      <c r="AF78" s="1">
        <v>6000</v>
      </c>
      <c r="AG78" s="1">
        <v>6300</v>
      </c>
      <c r="AH78" s="1">
        <v>1.5</v>
      </c>
      <c r="AI78" s="1" t="s">
        <v>896</v>
      </c>
      <c r="AJ78" s="1"/>
      <c r="AK78" s="1"/>
      <c r="AL78" s="1">
        <v>89.4</v>
      </c>
      <c r="AM78" s="1">
        <v>109</v>
      </c>
      <c r="AN78" s="1">
        <v>83.5</v>
      </c>
      <c r="AO78" s="1">
        <v>1.5</v>
      </c>
      <c r="AP78" s="1">
        <v>1.5</v>
      </c>
      <c r="AQ78" s="1">
        <v>1.7</v>
      </c>
      <c r="AR78" s="1">
        <v>79</v>
      </c>
      <c r="AS78" s="1">
        <v>81</v>
      </c>
      <c r="AT78" s="1">
        <v>86</v>
      </c>
      <c r="AU78" s="1">
        <v>115</v>
      </c>
      <c r="AV78" s="1">
        <v>1.5</v>
      </c>
      <c r="AW78" s="1">
        <v>1.5</v>
      </c>
      <c r="AX78" s="1">
        <v>0.2</v>
      </c>
    </row>
    <row r="79" spans="2:50">
      <c r="B79" t="str">
        <f t="shared" si="1"/>
        <v>ID/OD(mm): 25/47, C/C0(kN): 11.9/6.55</v>
      </c>
      <c r="C79" s="101">
        <v>25</v>
      </c>
      <c r="D79" s="101">
        <v>47</v>
      </c>
      <c r="E79" s="101">
        <v>12</v>
      </c>
      <c r="F79" s="93">
        <v>11.9</v>
      </c>
      <c r="G79" s="101">
        <v>6.55</v>
      </c>
      <c r="H79" s="101">
        <v>0.27500000000000002</v>
      </c>
      <c r="I79" s="101">
        <v>32000</v>
      </c>
      <c r="J79" s="101">
        <v>20000</v>
      </c>
      <c r="K79" s="1">
        <v>7.8E-2</v>
      </c>
      <c r="L79" s="1" t="s">
        <v>897</v>
      </c>
      <c r="N79" s="1">
        <v>33.299999999999997</v>
      </c>
      <c r="O79" s="1">
        <v>40.700000000000003</v>
      </c>
      <c r="P79" s="1" t="s">
        <v>704</v>
      </c>
      <c r="Q79" s="1">
        <v>0.3</v>
      </c>
      <c r="R79" s="1">
        <v>27</v>
      </c>
      <c r="S79" s="1">
        <v>45</v>
      </c>
      <c r="T79" s="1">
        <v>0.3</v>
      </c>
      <c r="U79" s="1">
        <v>0.02</v>
      </c>
      <c r="V79" s="1">
        <v>15</v>
      </c>
      <c r="Y79" t="s">
        <v>898</v>
      </c>
      <c r="Z79" s="1">
        <v>70</v>
      </c>
      <c r="AA79" s="1">
        <v>150</v>
      </c>
      <c r="AB79" s="1">
        <v>35</v>
      </c>
      <c r="AC79" s="1">
        <v>236</v>
      </c>
      <c r="AD79" s="1">
        <v>228</v>
      </c>
      <c r="AE79" s="1">
        <v>29</v>
      </c>
      <c r="AF79" s="1">
        <v>4800</v>
      </c>
      <c r="AG79" s="1">
        <v>5600</v>
      </c>
      <c r="AH79" s="1">
        <v>2.7</v>
      </c>
      <c r="AI79" s="1" t="s">
        <v>899</v>
      </c>
      <c r="AJ79" s="1"/>
      <c r="AK79" s="1"/>
      <c r="AL79" s="1">
        <v>97.3</v>
      </c>
      <c r="AM79" s="1">
        <v>127</v>
      </c>
      <c r="AN79" s="1">
        <v>89</v>
      </c>
      <c r="AO79" s="1">
        <v>2.1</v>
      </c>
      <c r="AP79" s="1">
        <v>2.1</v>
      </c>
      <c r="AQ79" s="1">
        <v>1.8</v>
      </c>
      <c r="AR79" s="1">
        <v>82</v>
      </c>
      <c r="AS79" s="1">
        <v>86</v>
      </c>
      <c r="AT79" s="1">
        <v>92</v>
      </c>
      <c r="AU79" s="1">
        <v>137</v>
      </c>
      <c r="AV79" s="1">
        <v>2</v>
      </c>
      <c r="AW79" s="1">
        <v>2</v>
      </c>
      <c r="AX79" s="1">
        <v>0.15</v>
      </c>
    </row>
    <row r="80" spans="2:50">
      <c r="B80" t="str">
        <f t="shared" si="1"/>
        <v>ID/OD(mm): 15/42, C/C0(kN): 11.9/5.4</v>
      </c>
      <c r="C80" s="101">
        <v>15</v>
      </c>
      <c r="D80" s="101">
        <v>42</v>
      </c>
      <c r="E80" s="101">
        <v>13</v>
      </c>
      <c r="F80" s="93">
        <v>11.9</v>
      </c>
      <c r="G80" s="101">
        <v>5.4</v>
      </c>
      <c r="H80" s="101">
        <v>0.22800000000000001</v>
      </c>
      <c r="I80" s="101">
        <v>38000</v>
      </c>
      <c r="J80" s="101">
        <v>24000</v>
      </c>
      <c r="K80" s="1">
        <v>8.2000000000000003E-2</v>
      </c>
      <c r="L80" s="1" t="s">
        <v>900</v>
      </c>
      <c r="N80" s="1">
        <v>21.7</v>
      </c>
      <c r="O80" s="1">
        <v>29</v>
      </c>
      <c r="P80" s="1">
        <v>30.4</v>
      </c>
      <c r="Q80" s="1">
        <v>0.6</v>
      </c>
      <c r="R80" s="1">
        <v>19.2</v>
      </c>
      <c r="S80" s="1">
        <v>30.8</v>
      </c>
      <c r="T80" s="1">
        <v>0.6</v>
      </c>
      <c r="U80" s="1">
        <v>2.5000000000000001E-2</v>
      </c>
      <c r="V80" s="1">
        <v>13</v>
      </c>
      <c r="Y80" t="s">
        <v>901</v>
      </c>
      <c r="Z80" s="1">
        <v>70</v>
      </c>
      <c r="AA80" s="1">
        <v>150</v>
      </c>
      <c r="AB80" s="1">
        <v>51</v>
      </c>
      <c r="AC80" s="1">
        <v>315</v>
      </c>
      <c r="AD80" s="1">
        <v>325</v>
      </c>
      <c r="AE80" s="1">
        <v>41.5</v>
      </c>
      <c r="AF80" s="1">
        <v>4800</v>
      </c>
      <c r="AG80" s="1">
        <v>5600</v>
      </c>
      <c r="AH80" s="1">
        <v>3.95</v>
      </c>
      <c r="AI80" s="1" t="s">
        <v>902</v>
      </c>
      <c r="AJ80" s="1"/>
      <c r="AK80" s="1"/>
      <c r="AL80" s="1">
        <v>97.3</v>
      </c>
      <c r="AM80" s="1">
        <v>127</v>
      </c>
      <c r="AN80" s="1">
        <v>89</v>
      </c>
      <c r="AO80" s="1">
        <v>2.1</v>
      </c>
      <c r="AP80" s="1">
        <v>2.1</v>
      </c>
      <c r="AQ80" s="1">
        <v>4.8</v>
      </c>
      <c r="AR80" s="1">
        <v>82</v>
      </c>
      <c r="AS80" s="1">
        <v>86</v>
      </c>
      <c r="AT80" s="1">
        <v>92</v>
      </c>
      <c r="AU80" s="1">
        <v>137</v>
      </c>
      <c r="AV80" s="1">
        <v>2</v>
      </c>
      <c r="AW80" s="1">
        <v>2</v>
      </c>
      <c r="AX80" s="1">
        <v>0.25</v>
      </c>
    </row>
    <row r="81" spans="2:50">
      <c r="B81" t="str">
        <f t="shared" si="1"/>
        <v>ID/OD(mm): 65/85, C/C0(kN): 12.4/12.7</v>
      </c>
      <c r="C81" s="101">
        <v>65</v>
      </c>
      <c r="D81" s="101">
        <v>85</v>
      </c>
      <c r="E81" s="101">
        <v>10</v>
      </c>
      <c r="F81" s="93">
        <v>12.4</v>
      </c>
      <c r="G81" s="101">
        <v>12.7</v>
      </c>
      <c r="H81" s="101">
        <v>0.54</v>
      </c>
      <c r="I81" s="101">
        <v>16000</v>
      </c>
      <c r="J81" s="101">
        <v>10000</v>
      </c>
      <c r="K81" s="1">
        <v>0.13</v>
      </c>
      <c r="L81" s="1" t="s">
        <v>903</v>
      </c>
      <c r="N81" s="1">
        <v>88.1</v>
      </c>
      <c r="O81" s="1">
        <v>122</v>
      </c>
      <c r="P81" s="1" t="s">
        <v>704</v>
      </c>
      <c r="Q81" s="1">
        <v>2.1</v>
      </c>
      <c r="R81" s="1">
        <v>74</v>
      </c>
      <c r="S81" s="1">
        <v>136</v>
      </c>
      <c r="T81" s="1">
        <v>2</v>
      </c>
      <c r="U81" s="1">
        <v>3.5000000000000003E-2</v>
      </c>
      <c r="V81" s="1">
        <v>12</v>
      </c>
      <c r="Y81" t="s">
        <v>904</v>
      </c>
      <c r="Z81" s="1">
        <v>70</v>
      </c>
      <c r="AA81" s="1">
        <v>180</v>
      </c>
      <c r="AB81" s="1">
        <v>42</v>
      </c>
      <c r="AC81" s="1">
        <v>229</v>
      </c>
      <c r="AD81" s="1">
        <v>240</v>
      </c>
      <c r="AE81" s="1">
        <v>30</v>
      </c>
      <c r="AF81" s="1">
        <v>4300</v>
      </c>
      <c r="AG81" s="1">
        <v>5000</v>
      </c>
      <c r="AH81" s="1">
        <v>5.35</v>
      </c>
      <c r="AI81" s="1" t="s">
        <v>905</v>
      </c>
      <c r="AJ81" s="1"/>
      <c r="AK81" s="1"/>
      <c r="AL81" s="1">
        <v>110</v>
      </c>
      <c r="AM81" s="1">
        <v>140</v>
      </c>
      <c r="AN81" s="1">
        <v>100</v>
      </c>
      <c r="AO81" s="1">
        <v>3</v>
      </c>
      <c r="AP81" s="1">
        <v>3</v>
      </c>
      <c r="AQ81" s="1">
        <v>3.5</v>
      </c>
      <c r="AR81" s="1">
        <v>87</v>
      </c>
      <c r="AS81" s="1">
        <v>97</v>
      </c>
      <c r="AT81" s="1">
        <v>102</v>
      </c>
      <c r="AU81" s="1">
        <v>164</v>
      </c>
      <c r="AV81" s="1">
        <v>2.5</v>
      </c>
      <c r="AW81" s="1">
        <v>2.5</v>
      </c>
      <c r="AX81" s="1">
        <v>0.15</v>
      </c>
    </row>
    <row r="82" spans="2:50">
      <c r="B82" t="str">
        <f t="shared" si="1"/>
        <v>ID/OD(mm): 70/90, C/C0(kN): 12.4/13.2</v>
      </c>
      <c r="C82" s="101">
        <v>70</v>
      </c>
      <c r="D82" s="101">
        <v>90</v>
      </c>
      <c r="E82" s="101">
        <v>10</v>
      </c>
      <c r="F82" s="93">
        <v>12.4</v>
      </c>
      <c r="G82" s="101">
        <v>13.2</v>
      </c>
      <c r="H82" s="101">
        <v>0.56000000000000005</v>
      </c>
      <c r="I82" s="101">
        <v>15000</v>
      </c>
      <c r="J82" s="101">
        <v>9000</v>
      </c>
      <c r="K82" s="1">
        <v>0.14000000000000001</v>
      </c>
      <c r="L82" s="1" t="s">
        <v>906</v>
      </c>
      <c r="N82" s="1">
        <v>94</v>
      </c>
      <c r="O82" s="1">
        <v>131</v>
      </c>
      <c r="P82" s="1" t="s">
        <v>704</v>
      </c>
      <c r="Q82" s="1">
        <v>2.1</v>
      </c>
      <c r="R82" s="1">
        <v>79</v>
      </c>
      <c r="S82" s="1">
        <v>146</v>
      </c>
      <c r="T82" s="1">
        <v>2</v>
      </c>
      <c r="U82" s="1">
        <v>3.5000000000000003E-2</v>
      </c>
      <c r="V82" s="1">
        <v>12</v>
      </c>
      <c r="Y82" t="s">
        <v>907</v>
      </c>
      <c r="Z82" s="1">
        <v>75</v>
      </c>
      <c r="AA82" s="1">
        <v>115</v>
      </c>
      <c r="AB82" s="1">
        <v>20</v>
      </c>
      <c r="AC82" s="1">
        <v>58.3</v>
      </c>
      <c r="AD82" s="1">
        <v>71</v>
      </c>
      <c r="AE82" s="1">
        <v>8.5</v>
      </c>
      <c r="AF82" s="1">
        <v>6700</v>
      </c>
      <c r="AG82" s="1">
        <v>10000</v>
      </c>
      <c r="AH82" s="1">
        <v>0.75</v>
      </c>
      <c r="AI82" s="1" t="s">
        <v>908</v>
      </c>
      <c r="AJ82" s="1"/>
      <c r="AK82" s="1">
        <v>75</v>
      </c>
      <c r="AL82" s="1" t="s">
        <v>704</v>
      </c>
      <c r="AM82" s="1">
        <v>101</v>
      </c>
      <c r="AN82" s="1">
        <v>85</v>
      </c>
      <c r="AO82" s="1">
        <v>1.1000000000000001</v>
      </c>
      <c r="AP82" s="1">
        <v>1</v>
      </c>
      <c r="AQ82" s="1">
        <v>3</v>
      </c>
      <c r="AR82" s="1">
        <v>80</v>
      </c>
      <c r="AS82" s="1">
        <v>83</v>
      </c>
      <c r="AT82" s="1">
        <v>87</v>
      </c>
      <c r="AU82" s="1">
        <v>109</v>
      </c>
      <c r="AV82" s="1">
        <v>1</v>
      </c>
      <c r="AW82" s="1">
        <v>1</v>
      </c>
      <c r="AX82" s="1">
        <v>0.15</v>
      </c>
    </row>
    <row r="83" spans="2:50">
      <c r="B83" t="str">
        <f t="shared" si="1"/>
        <v>ID/OD(mm): 75/95, C/C0(kN): 12.7/14.3</v>
      </c>
      <c r="C83" s="101">
        <v>75</v>
      </c>
      <c r="D83" s="101">
        <v>95</v>
      </c>
      <c r="E83" s="101">
        <v>10</v>
      </c>
      <c r="F83" s="93">
        <v>12.7</v>
      </c>
      <c r="G83" s="101">
        <v>14.3</v>
      </c>
      <c r="H83" s="101">
        <v>0.61</v>
      </c>
      <c r="I83" s="101">
        <v>14000</v>
      </c>
      <c r="J83" s="101">
        <v>8500</v>
      </c>
      <c r="K83" s="1">
        <v>0.15</v>
      </c>
      <c r="L83" s="1" t="s">
        <v>909</v>
      </c>
      <c r="N83" s="1">
        <v>103</v>
      </c>
      <c r="O83" s="1">
        <v>146</v>
      </c>
      <c r="P83" s="1" t="s">
        <v>704</v>
      </c>
      <c r="Q83" s="1">
        <v>3</v>
      </c>
      <c r="R83" s="1">
        <v>86</v>
      </c>
      <c r="S83" s="1">
        <v>164</v>
      </c>
      <c r="T83" s="1">
        <v>2.5</v>
      </c>
      <c r="U83" s="1">
        <v>3.5000000000000003E-2</v>
      </c>
      <c r="V83" s="1">
        <v>12</v>
      </c>
      <c r="Y83" t="s">
        <v>910</v>
      </c>
      <c r="Z83" s="1">
        <v>75</v>
      </c>
      <c r="AA83" s="1">
        <v>130</v>
      </c>
      <c r="AB83" s="1">
        <v>25</v>
      </c>
      <c r="AC83" s="1">
        <v>150</v>
      </c>
      <c r="AD83" s="1">
        <v>156</v>
      </c>
      <c r="AE83" s="1">
        <v>20.399999999999999</v>
      </c>
      <c r="AF83" s="1">
        <v>5600</v>
      </c>
      <c r="AG83" s="1">
        <v>6000</v>
      </c>
      <c r="AH83" s="1">
        <v>1.25</v>
      </c>
      <c r="AI83" s="1" t="s">
        <v>911</v>
      </c>
      <c r="AJ83" s="1"/>
      <c r="AK83" s="1"/>
      <c r="AL83" s="1">
        <v>94.3</v>
      </c>
      <c r="AM83" s="1">
        <v>114</v>
      </c>
      <c r="AN83" s="1">
        <v>88.5</v>
      </c>
      <c r="AO83" s="1">
        <v>1.5</v>
      </c>
      <c r="AP83" s="1">
        <v>1.5</v>
      </c>
      <c r="AQ83" s="1">
        <v>1.2</v>
      </c>
      <c r="AR83" s="1">
        <v>84</v>
      </c>
      <c r="AS83" s="1">
        <v>86</v>
      </c>
      <c r="AT83" s="1">
        <v>91</v>
      </c>
      <c r="AU83" s="1">
        <v>121</v>
      </c>
      <c r="AV83" s="1">
        <v>1.5</v>
      </c>
      <c r="AW83" s="1">
        <v>1.5</v>
      </c>
      <c r="AX83" s="1">
        <v>0.15</v>
      </c>
    </row>
    <row r="84" spans="2:50">
      <c r="B84" t="str">
        <f t="shared" si="1"/>
        <v>ID/OD(mm): 35/62, C/C0(kN): 13/8.15</v>
      </c>
      <c r="C84" s="101">
        <v>35</v>
      </c>
      <c r="D84" s="101">
        <v>62</v>
      </c>
      <c r="E84" s="101">
        <v>9</v>
      </c>
      <c r="F84" s="93">
        <v>13</v>
      </c>
      <c r="G84" s="101">
        <v>8.15</v>
      </c>
      <c r="H84" s="101">
        <v>0.375</v>
      </c>
      <c r="I84" s="101">
        <v>24000</v>
      </c>
      <c r="J84" s="101">
        <v>15000</v>
      </c>
      <c r="K84" s="1">
        <v>0.11</v>
      </c>
      <c r="L84" s="1" t="s">
        <v>912</v>
      </c>
      <c r="N84" s="1">
        <v>42.2</v>
      </c>
      <c r="O84" s="1">
        <v>50.1</v>
      </c>
      <c r="P84" s="1">
        <v>52.2</v>
      </c>
      <c r="Q84" s="1">
        <v>0.6</v>
      </c>
      <c r="R84" s="1">
        <v>38.200000000000003</v>
      </c>
      <c r="S84" s="1">
        <v>51.8</v>
      </c>
      <c r="T84" s="1">
        <v>0.6</v>
      </c>
      <c r="U84" s="1">
        <v>0.02</v>
      </c>
      <c r="V84" s="1">
        <v>16</v>
      </c>
      <c r="Y84" t="s">
        <v>913</v>
      </c>
      <c r="Z84" s="1">
        <v>75</v>
      </c>
      <c r="AA84" s="1">
        <v>130</v>
      </c>
      <c r="AB84" s="1">
        <v>31</v>
      </c>
      <c r="AC84" s="1">
        <v>186</v>
      </c>
      <c r="AD84" s="1">
        <v>208</v>
      </c>
      <c r="AE84" s="1">
        <v>27</v>
      </c>
      <c r="AF84" s="1">
        <v>5600</v>
      </c>
      <c r="AG84" s="1">
        <v>6000</v>
      </c>
      <c r="AH84" s="1">
        <v>1.6</v>
      </c>
      <c r="AI84" s="1" t="s">
        <v>914</v>
      </c>
      <c r="AJ84" s="1"/>
      <c r="AK84" s="1"/>
      <c r="AL84" s="1" t="s">
        <v>704</v>
      </c>
      <c r="AM84" s="1">
        <v>114</v>
      </c>
      <c r="AN84" s="1">
        <v>88.5</v>
      </c>
      <c r="AO84" s="1">
        <v>1.5</v>
      </c>
      <c r="AP84" s="1">
        <v>1.5</v>
      </c>
      <c r="AQ84" s="1">
        <v>1.7</v>
      </c>
      <c r="AR84" s="1">
        <v>84</v>
      </c>
      <c r="AS84" s="1">
        <v>86</v>
      </c>
      <c r="AT84" s="1">
        <v>91</v>
      </c>
      <c r="AU84" s="1">
        <v>121</v>
      </c>
      <c r="AV84" s="1">
        <v>1.5</v>
      </c>
      <c r="AW84" s="1">
        <v>1.5</v>
      </c>
      <c r="AX84" s="1">
        <v>0.2</v>
      </c>
    </row>
    <row r="85" spans="2:50">
      <c r="B85" t="str">
        <f t="shared" si="1"/>
        <v>ID/OD(mm): 80/100, C/C0(kN): 13/15</v>
      </c>
      <c r="C85" s="101">
        <v>80</v>
      </c>
      <c r="D85" s="101">
        <v>100</v>
      </c>
      <c r="E85" s="101">
        <v>10</v>
      </c>
      <c r="F85" s="93">
        <v>13</v>
      </c>
      <c r="G85" s="101">
        <v>15</v>
      </c>
      <c r="H85" s="101">
        <v>0.64</v>
      </c>
      <c r="I85" s="101">
        <v>13000</v>
      </c>
      <c r="J85" s="101">
        <v>8000</v>
      </c>
      <c r="K85" s="1">
        <v>0.15</v>
      </c>
      <c r="L85" s="1" t="s">
        <v>915</v>
      </c>
      <c r="N85" s="1">
        <v>110</v>
      </c>
      <c r="O85" s="1">
        <v>155</v>
      </c>
      <c r="P85" s="1" t="s">
        <v>704</v>
      </c>
      <c r="Q85" s="1">
        <v>3</v>
      </c>
      <c r="R85" s="1">
        <v>91</v>
      </c>
      <c r="S85" s="1">
        <v>174</v>
      </c>
      <c r="T85" s="1">
        <v>2.5</v>
      </c>
      <c r="U85" s="1">
        <v>3.5000000000000003E-2</v>
      </c>
      <c r="V85" s="1">
        <v>12</v>
      </c>
      <c r="Y85" t="s">
        <v>916</v>
      </c>
      <c r="Z85" s="1">
        <v>75</v>
      </c>
      <c r="AA85" s="1">
        <v>160</v>
      </c>
      <c r="AB85" s="1">
        <v>37</v>
      </c>
      <c r="AC85" s="1">
        <v>280</v>
      </c>
      <c r="AD85" s="1">
        <v>265</v>
      </c>
      <c r="AE85" s="1">
        <v>33.5</v>
      </c>
      <c r="AF85" s="1">
        <v>4500</v>
      </c>
      <c r="AG85" s="1">
        <v>5300</v>
      </c>
      <c r="AH85" s="1">
        <v>3.3</v>
      </c>
      <c r="AI85" s="1" t="s">
        <v>917</v>
      </c>
      <c r="AJ85" s="1"/>
      <c r="AK85" s="1"/>
      <c r="AL85" s="1">
        <v>104</v>
      </c>
      <c r="AM85" s="1">
        <v>136</v>
      </c>
      <c r="AN85" s="1">
        <v>95</v>
      </c>
      <c r="AO85" s="1">
        <v>2.1</v>
      </c>
      <c r="AP85" s="1">
        <v>2.1</v>
      </c>
      <c r="AQ85" s="1">
        <v>1.8</v>
      </c>
      <c r="AR85" s="1">
        <v>87</v>
      </c>
      <c r="AS85" s="1">
        <v>92</v>
      </c>
      <c r="AT85" s="1">
        <v>97</v>
      </c>
      <c r="AU85" s="1">
        <v>148</v>
      </c>
      <c r="AV85" s="1">
        <v>2</v>
      </c>
      <c r="AW85" s="1">
        <v>2</v>
      </c>
      <c r="AX85" s="1">
        <v>0.15</v>
      </c>
    </row>
    <row r="86" spans="2:50">
      <c r="B86" t="str">
        <f t="shared" si="1"/>
        <v>ID/OD(mm): 20/47, C/C0(kN): 13.5/6.55</v>
      </c>
      <c r="C86" s="101">
        <v>20</v>
      </c>
      <c r="D86" s="101">
        <v>47</v>
      </c>
      <c r="E86" s="101">
        <v>14</v>
      </c>
      <c r="F86" s="93">
        <v>13.5</v>
      </c>
      <c r="G86" s="101">
        <v>6.55</v>
      </c>
      <c r="H86" s="101">
        <v>0.28000000000000003</v>
      </c>
      <c r="I86" s="101">
        <v>32000</v>
      </c>
      <c r="J86" s="101">
        <v>20000</v>
      </c>
      <c r="K86" s="1">
        <v>0.11</v>
      </c>
      <c r="L86" s="1" t="s">
        <v>918</v>
      </c>
      <c r="N86" s="1">
        <v>27.2</v>
      </c>
      <c r="O86" s="1">
        <v>34.799999999999997</v>
      </c>
      <c r="P86" s="1">
        <v>37.200000000000003</v>
      </c>
      <c r="Q86" s="1">
        <v>0.6</v>
      </c>
      <c r="R86" s="1">
        <v>23.2</v>
      </c>
      <c r="S86" s="1">
        <v>38.799999999999997</v>
      </c>
      <c r="T86" s="1">
        <v>0.6</v>
      </c>
      <c r="U86" s="1">
        <v>2.5000000000000001E-2</v>
      </c>
      <c r="V86" s="1">
        <v>14</v>
      </c>
      <c r="Y86" t="s">
        <v>919</v>
      </c>
      <c r="Z86" s="1">
        <v>75</v>
      </c>
      <c r="AA86" s="1">
        <v>160</v>
      </c>
      <c r="AB86" s="1">
        <v>55</v>
      </c>
      <c r="AC86" s="1">
        <v>380</v>
      </c>
      <c r="AD86" s="1">
        <v>400</v>
      </c>
      <c r="AE86" s="1">
        <v>50</v>
      </c>
      <c r="AF86" s="1">
        <v>4500</v>
      </c>
      <c r="AG86" s="1">
        <v>5300</v>
      </c>
      <c r="AH86" s="1">
        <v>4.8</v>
      </c>
      <c r="AI86" s="1" t="s">
        <v>920</v>
      </c>
      <c r="AJ86" s="1"/>
      <c r="AK86" s="1"/>
      <c r="AL86" s="1">
        <v>104</v>
      </c>
      <c r="AM86" s="1">
        <v>136</v>
      </c>
      <c r="AN86" s="1">
        <v>95</v>
      </c>
      <c r="AO86" s="1">
        <v>2.1</v>
      </c>
      <c r="AP86" s="1">
        <v>2.1</v>
      </c>
      <c r="AQ86" s="1">
        <v>4.8</v>
      </c>
      <c r="AR86" s="1">
        <v>87</v>
      </c>
      <c r="AS86" s="1">
        <v>92</v>
      </c>
      <c r="AT86" s="1">
        <v>97</v>
      </c>
      <c r="AU86" s="1">
        <v>148</v>
      </c>
      <c r="AV86" s="1">
        <v>2</v>
      </c>
      <c r="AW86" s="1">
        <v>2</v>
      </c>
      <c r="AX86" s="1">
        <v>0.25</v>
      </c>
    </row>
    <row r="87" spans="2:50">
      <c r="B87" t="str">
        <f t="shared" si="1"/>
        <v>ID/OD(mm): 40/68, C/C0(kN): 13.8/10.2</v>
      </c>
      <c r="C87" s="101">
        <v>40</v>
      </c>
      <c r="D87" s="101">
        <v>68</v>
      </c>
      <c r="E87" s="101">
        <v>9</v>
      </c>
      <c r="F87" s="93">
        <v>13.8</v>
      </c>
      <c r="G87" s="101">
        <v>10.199999999999999</v>
      </c>
      <c r="H87" s="101">
        <v>0.44</v>
      </c>
      <c r="I87" s="101">
        <v>22000</v>
      </c>
      <c r="J87" s="101">
        <v>14000</v>
      </c>
      <c r="K87" s="1">
        <v>0.13</v>
      </c>
      <c r="L87" s="1" t="s">
        <v>921</v>
      </c>
      <c r="N87" s="1">
        <v>46.9</v>
      </c>
      <c r="O87" s="1">
        <v>55.1</v>
      </c>
      <c r="P87" s="1" t="s">
        <v>704</v>
      </c>
      <c r="Q87" s="1">
        <v>0.6</v>
      </c>
      <c r="R87" s="1">
        <v>43.2</v>
      </c>
      <c r="S87" s="1">
        <v>58.8</v>
      </c>
      <c r="T87" s="1">
        <v>0.6</v>
      </c>
      <c r="U87" s="1">
        <v>0.02</v>
      </c>
      <c r="V87" s="1">
        <v>16</v>
      </c>
      <c r="Y87" t="s">
        <v>922</v>
      </c>
      <c r="Z87" s="1">
        <v>75</v>
      </c>
      <c r="AA87" s="1">
        <v>190</v>
      </c>
      <c r="AB87" s="1">
        <v>45</v>
      </c>
      <c r="AC87" s="1">
        <v>264</v>
      </c>
      <c r="AD87" s="1">
        <v>280</v>
      </c>
      <c r="AE87" s="1">
        <v>34</v>
      </c>
      <c r="AF87" s="1">
        <v>4000</v>
      </c>
      <c r="AG87" s="1">
        <v>4800</v>
      </c>
      <c r="AH87" s="1">
        <v>6.2</v>
      </c>
      <c r="AI87" s="1" t="s">
        <v>923</v>
      </c>
      <c r="AJ87" s="1"/>
      <c r="AK87" s="1"/>
      <c r="AL87" s="1">
        <v>116</v>
      </c>
      <c r="AM87" s="1">
        <v>148</v>
      </c>
      <c r="AN87" s="1">
        <v>104.5</v>
      </c>
      <c r="AO87" s="1">
        <v>3</v>
      </c>
      <c r="AP87" s="1">
        <v>3</v>
      </c>
      <c r="AQ87" s="1">
        <v>3.8</v>
      </c>
      <c r="AR87" s="1">
        <v>91</v>
      </c>
      <c r="AS87" s="1">
        <v>101</v>
      </c>
      <c r="AT87" s="1">
        <v>107</v>
      </c>
      <c r="AU87" s="1">
        <v>174</v>
      </c>
      <c r="AV87" s="1">
        <v>2.5</v>
      </c>
      <c r="AW87" s="1">
        <v>2.5</v>
      </c>
      <c r="AX87" s="1">
        <v>0.15</v>
      </c>
    </row>
    <row r="88" spans="2:50">
      <c r="B88" t="str">
        <f t="shared" si="1"/>
        <v>ID/OD(mm): 40/62, C/C0(kN): 13.8/10</v>
      </c>
      <c r="C88" s="101">
        <v>40</v>
      </c>
      <c r="D88" s="101">
        <v>62</v>
      </c>
      <c r="E88" s="101">
        <v>12</v>
      </c>
      <c r="F88" s="93">
        <v>13.8</v>
      </c>
      <c r="G88" s="101">
        <v>10</v>
      </c>
      <c r="H88" s="101">
        <v>0.42499999999999999</v>
      </c>
      <c r="I88" s="101">
        <v>24000</v>
      </c>
      <c r="J88" s="101">
        <v>14000</v>
      </c>
      <c r="K88" s="1">
        <v>0.12</v>
      </c>
      <c r="L88" s="1" t="s">
        <v>924</v>
      </c>
      <c r="M88" s="1">
        <v>40</v>
      </c>
      <c r="N88" s="1">
        <v>43.2</v>
      </c>
      <c r="O88" s="1">
        <v>48.1</v>
      </c>
      <c r="P88" s="1" t="s">
        <v>704</v>
      </c>
      <c r="Q88" s="1">
        <v>0.3</v>
      </c>
      <c r="R88" s="1">
        <v>42</v>
      </c>
      <c r="S88" s="1">
        <v>50</v>
      </c>
      <c r="T88" s="1">
        <v>0.3</v>
      </c>
      <c r="U88" s="1">
        <v>1.4999999999999999E-2</v>
      </c>
      <c r="V88" s="1">
        <v>15</v>
      </c>
      <c r="Y88" t="s">
        <v>925</v>
      </c>
      <c r="Z88" s="1">
        <v>80</v>
      </c>
      <c r="AA88" s="1">
        <v>125</v>
      </c>
      <c r="AB88" s="1">
        <v>22</v>
      </c>
      <c r="AC88" s="1">
        <v>64.400000000000006</v>
      </c>
      <c r="AD88" s="1">
        <v>78</v>
      </c>
      <c r="AE88" s="1">
        <v>9.8000000000000007</v>
      </c>
      <c r="AF88" s="1">
        <v>6300</v>
      </c>
      <c r="AG88" s="1">
        <v>6300</v>
      </c>
      <c r="AH88" s="1">
        <v>0.88</v>
      </c>
      <c r="AI88" s="1" t="s">
        <v>926</v>
      </c>
      <c r="AJ88" s="1"/>
      <c r="AK88" s="1">
        <v>80</v>
      </c>
      <c r="AL88" s="1" t="s">
        <v>704</v>
      </c>
      <c r="AM88" s="1">
        <v>109</v>
      </c>
      <c r="AN88" s="1">
        <v>91.5</v>
      </c>
      <c r="AO88" s="1">
        <v>1.1000000000000001</v>
      </c>
      <c r="AP88" s="1">
        <v>1</v>
      </c>
      <c r="AQ88" s="1">
        <v>3.3</v>
      </c>
      <c r="AR88" s="1">
        <v>86</v>
      </c>
      <c r="AS88" s="1">
        <v>90</v>
      </c>
      <c r="AT88" s="1">
        <v>94</v>
      </c>
      <c r="AU88" s="1">
        <v>119</v>
      </c>
      <c r="AV88" s="1">
        <v>1</v>
      </c>
      <c r="AW88" s="1">
        <v>1</v>
      </c>
      <c r="AX88" s="1">
        <v>0.1</v>
      </c>
    </row>
    <row r="89" spans="2:50">
      <c r="B89" t="str">
        <f t="shared" si="1"/>
        <v>ID/OD(mm): 30/55, C/C0(kN): 13.8/8.3</v>
      </c>
      <c r="C89" s="101">
        <v>30</v>
      </c>
      <c r="D89" s="101">
        <v>55</v>
      </c>
      <c r="E89" s="101">
        <v>13</v>
      </c>
      <c r="F89" s="93">
        <v>13.8</v>
      </c>
      <c r="G89" s="101">
        <v>8.3000000000000007</v>
      </c>
      <c r="H89" s="101">
        <v>0.35499999999999998</v>
      </c>
      <c r="I89" s="101">
        <v>28000</v>
      </c>
      <c r="J89" s="101">
        <v>17000</v>
      </c>
      <c r="K89" s="1">
        <v>0.12</v>
      </c>
      <c r="L89" s="1" t="s">
        <v>927</v>
      </c>
      <c r="N89" s="1">
        <v>37.700000000000003</v>
      </c>
      <c r="O89" s="1">
        <v>47.3</v>
      </c>
      <c r="P89" s="1" t="s">
        <v>704</v>
      </c>
      <c r="Q89" s="1">
        <v>0.3</v>
      </c>
      <c r="R89" s="1">
        <v>32</v>
      </c>
      <c r="S89" s="1">
        <v>53</v>
      </c>
      <c r="T89" s="1">
        <v>0.3</v>
      </c>
      <c r="U89" s="1">
        <v>0.02</v>
      </c>
      <c r="V89" s="1">
        <v>15</v>
      </c>
      <c r="Y89" t="s">
        <v>928</v>
      </c>
      <c r="Z89" s="1">
        <v>80</v>
      </c>
      <c r="AA89" s="1">
        <v>125</v>
      </c>
      <c r="AB89" s="1">
        <v>22</v>
      </c>
      <c r="AC89" s="1">
        <v>99</v>
      </c>
      <c r="AD89" s="1">
        <v>127</v>
      </c>
      <c r="AE89" s="1">
        <v>16.3</v>
      </c>
      <c r="AF89" s="1">
        <v>6000</v>
      </c>
      <c r="AG89" s="1">
        <v>9500</v>
      </c>
      <c r="AH89" s="1">
        <v>1.05</v>
      </c>
      <c r="AI89" s="1" t="s">
        <v>929</v>
      </c>
      <c r="AJ89" s="1"/>
      <c r="AK89" s="1"/>
      <c r="AL89" s="1">
        <v>96.2</v>
      </c>
      <c r="AM89" s="1">
        <v>111</v>
      </c>
      <c r="AN89" s="1">
        <v>91.5</v>
      </c>
      <c r="AO89" s="1">
        <v>1.1000000000000001</v>
      </c>
      <c r="AP89" s="1">
        <v>1</v>
      </c>
      <c r="AQ89" s="1">
        <v>1.5</v>
      </c>
      <c r="AR89" s="1">
        <v>86</v>
      </c>
      <c r="AS89" s="1">
        <v>90</v>
      </c>
      <c r="AT89" s="1">
        <v>99</v>
      </c>
      <c r="AU89" s="1">
        <v>119</v>
      </c>
      <c r="AV89" s="1">
        <v>1</v>
      </c>
      <c r="AW89" s="1">
        <v>1</v>
      </c>
      <c r="AX89" s="1">
        <v>0.15</v>
      </c>
    </row>
    <row r="90" spans="2:50">
      <c r="B90" t="str">
        <f t="shared" si="1"/>
        <v>ID/OD(mm): 45/68, C/C0(kN): 14/10.8</v>
      </c>
      <c r="C90" s="101">
        <v>45</v>
      </c>
      <c r="D90" s="101">
        <v>68</v>
      </c>
      <c r="E90" s="101">
        <v>12</v>
      </c>
      <c r="F90" s="93">
        <v>14</v>
      </c>
      <c r="G90" s="101">
        <v>10.8</v>
      </c>
      <c r="H90" s="101">
        <v>0.46500000000000002</v>
      </c>
      <c r="I90" s="101">
        <v>20000</v>
      </c>
      <c r="J90" s="101">
        <v>13000</v>
      </c>
      <c r="K90" s="1">
        <v>0.14000000000000001</v>
      </c>
      <c r="L90" s="1" t="s">
        <v>930</v>
      </c>
      <c r="M90" s="1">
        <v>45</v>
      </c>
      <c r="N90" s="1">
        <v>49.1</v>
      </c>
      <c r="O90" s="1">
        <v>53.9</v>
      </c>
      <c r="P90" s="1" t="s">
        <v>704</v>
      </c>
      <c r="Q90" s="1">
        <v>0.3</v>
      </c>
      <c r="R90" s="1">
        <v>47</v>
      </c>
      <c r="S90" s="1">
        <v>56</v>
      </c>
      <c r="T90" s="1">
        <v>0.3</v>
      </c>
      <c r="U90" s="1">
        <v>1.4999999999999999E-2</v>
      </c>
      <c r="V90" s="1">
        <v>17</v>
      </c>
      <c r="Y90" t="s">
        <v>931</v>
      </c>
      <c r="Z90" s="1">
        <v>80</v>
      </c>
      <c r="AA90" s="1">
        <v>140</v>
      </c>
      <c r="AB90" s="1">
        <v>26</v>
      </c>
      <c r="AC90" s="1">
        <v>160</v>
      </c>
      <c r="AD90" s="1">
        <v>166</v>
      </c>
      <c r="AE90" s="1">
        <v>21.2</v>
      </c>
      <c r="AF90" s="1">
        <v>5300</v>
      </c>
      <c r="AG90" s="1">
        <v>5600</v>
      </c>
      <c r="AH90" s="1">
        <v>1.55</v>
      </c>
      <c r="AI90" s="1" t="s">
        <v>932</v>
      </c>
      <c r="AJ90" s="1"/>
      <c r="AK90" s="1"/>
      <c r="AL90" s="1">
        <v>101</v>
      </c>
      <c r="AM90" s="1">
        <v>123</v>
      </c>
      <c r="AN90" s="1">
        <v>95.3</v>
      </c>
      <c r="AO90" s="1">
        <v>2</v>
      </c>
      <c r="AP90" s="1">
        <v>2</v>
      </c>
      <c r="AQ90" s="1">
        <v>1.4</v>
      </c>
      <c r="AR90" s="1">
        <v>90</v>
      </c>
      <c r="AS90" s="1">
        <v>93</v>
      </c>
      <c r="AT90" s="1">
        <v>98</v>
      </c>
      <c r="AU90" s="1">
        <v>129</v>
      </c>
      <c r="AV90" s="1">
        <v>2</v>
      </c>
      <c r="AW90" s="1">
        <v>2</v>
      </c>
      <c r="AX90" s="1">
        <v>0.15</v>
      </c>
    </row>
    <row r="91" spans="2:50">
      <c r="B91" t="str">
        <f t="shared" si="1"/>
        <v>ID/OD(mm): 22/50, C/C0(kN): 14/7.65</v>
      </c>
      <c r="C91" s="101">
        <v>22</v>
      </c>
      <c r="D91" s="101">
        <v>50</v>
      </c>
      <c r="E91" s="101">
        <v>14</v>
      </c>
      <c r="F91" s="93">
        <v>14</v>
      </c>
      <c r="G91" s="101">
        <v>7.65</v>
      </c>
      <c r="H91" s="101">
        <v>0.32500000000000001</v>
      </c>
      <c r="I91" s="101">
        <v>30000</v>
      </c>
      <c r="J91" s="101">
        <v>19000</v>
      </c>
      <c r="K91" s="1">
        <v>0.13</v>
      </c>
      <c r="L91" s="1" t="s">
        <v>933</v>
      </c>
      <c r="N91" s="1">
        <v>37.1</v>
      </c>
      <c r="O91" s="1">
        <v>54.8</v>
      </c>
      <c r="P91" s="1" t="s">
        <v>704</v>
      </c>
      <c r="Q91" s="1">
        <v>1.1000000000000001</v>
      </c>
      <c r="R91" s="1">
        <v>29</v>
      </c>
      <c r="S91" s="1">
        <v>63</v>
      </c>
      <c r="T91" s="1">
        <v>1</v>
      </c>
      <c r="U91" s="1">
        <v>3.5000000000000003E-2</v>
      </c>
      <c r="V91" s="1">
        <v>11</v>
      </c>
      <c r="Y91" t="s">
        <v>934</v>
      </c>
      <c r="Z91" s="1">
        <v>80</v>
      </c>
      <c r="AA91" s="1">
        <v>140</v>
      </c>
      <c r="AB91" s="1">
        <v>33</v>
      </c>
      <c r="AC91" s="1">
        <v>212</v>
      </c>
      <c r="AD91" s="1">
        <v>245</v>
      </c>
      <c r="AE91" s="1">
        <v>31</v>
      </c>
      <c r="AF91" s="1">
        <v>5300</v>
      </c>
      <c r="AG91" s="1">
        <v>5600</v>
      </c>
      <c r="AH91" s="1">
        <v>2</v>
      </c>
      <c r="AI91" s="1" t="s">
        <v>935</v>
      </c>
      <c r="AJ91" s="1"/>
      <c r="AK91" s="1"/>
      <c r="AL91" s="1">
        <v>101</v>
      </c>
      <c r="AM91" s="1">
        <v>123</v>
      </c>
      <c r="AN91" s="1">
        <v>95.3</v>
      </c>
      <c r="AO91" s="1">
        <v>2</v>
      </c>
      <c r="AP91" s="1">
        <v>2</v>
      </c>
      <c r="AQ91" s="1">
        <v>1.4</v>
      </c>
      <c r="AR91" s="1">
        <v>90</v>
      </c>
      <c r="AS91" s="1">
        <v>93</v>
      </c>
      <c r="AT91" s="1">
        <v>98</v>
      </c>
      <c r="AU91" s="1">
        <v>129</v>
      </c>
      <c r="AV91" s="1">
        <v>2</v>
      </c>
      <c r="AW91" s="1">
        <v>2</v>
      </c>
      <c r="AX91" s="1">
        <v>0.2</v>
      </c>
    </row>
    <row r="92" spans="2:50">
      <c r="B92" t="str">
        <f t="shared" si="1"/>
        <v>ID/OD(mm): 17/47, C/C0(kN): 14.3/6.55</v>
      </c>
      <c r="C92" s="101">
        <v>17</v>
      </c>
      <c r="D92" s="101">
        <v>47</v>
      </c>
      <c r="E92" s="101">
        <v>14</v>
      </c>
      <c r="F92" s="93">
        <v>14.3</v>
      </c>
      <c r="G92" s="101">
        <v>6.55</v>
      </c>
      <c r="H92" s="101">
        <v>0.27500000000000002</v>
      </c>
      <c r="I92" s="101">
        <v>34000</v>
      </c>
      <c r="J92" s="101">
        <v>22000</v>
      </c>
      <c r="K92" s="1">
        <v>0.11</v>
      </c>
      <c r="L92" s="1" t="s">
        <v>936</v>
      </c>
      <c r="N92" s="1">
        <v>24.5</v>
      </c>
      <c r="O92" s="1">
        <v>32.700000000000003</v>
      </c>
      <c r="P92" s="1" t="s">
        <v>704</v>
      </c>
      <c r="Q92" s="1">
        <v>0.6</v>
      </c>
      <c r="R92" s="1">
        <v>21.2</v>
      </c>
      <c r="S92" s="1">
        <v>35.799999999999997</v>
      </c>
      <c r="T92" s="1">
        <v>0.6</v>
      </c>
      <c r="U92" s="1">
        <v>0.03</v>
      </c>
      <c r="V92" s="1">
        <v>12</v>
      </c>
      <c r="Y92" t="s">
        <v>937</v>
      </c>
      <c r="Z92" s="1">
        <v>80</v>
      </c>
      <c r="AA92" s="1">
        <v>170</v>
      </c>
      <c r="AB92" s="1">
        <v>39</v>
      </c>
      <c r="AC92" s="1">
        <v>300</v>
      </c>
      <c r="AD92" s="1">
        <v>290</v>
      </c>
      <c r="AE92" s="1">
        <v>36</v>
      </c>
      <c r="AF92" s="1">
        <v>4300</v>
      </c>
      <c r="AG92" s="1">
        <v>5000</v>
      </c>
      <c r="AH92" s="1">
        <v>3.85</v>
      </c>
      <c r="AI92" s="1" t="s">
        <v>938</v>
      </c>
      <c r="AJ92" s="1"/>
      <c r="AK92" s="1"/>
      <c r="AL92" s="1">
        <v>110</v>
      </c>
      <c r="AM92" s="1">
        <v>144</v>
      </c>
      <c r="AN92" s="1">
        <v>101</v>
      </c>
      <c r="AO92" s="1">
        <v>2.1</v>
      </c>
      <c r="AP92" s="1">
        <v>2.1</v>
      </c>
      <c r="AQ92" s="1">
        <v>2.1</v>
      </c>
      <c r="AR92" s="1">
        <v>92</v>
      </c>
      <c r="AS92" s="1">
        <v>98</v>
      </c>
      <c r="AT92" s="1">
        <v>104</v>
      </c>
      <c r="AU92" s="1">
        <v>157</v>
      </c>
      <c r="AV92" s="1">
        <v>2</v>
      </c>
      <c r="AW92" s="1">
        <v>2</v>
      </c>
      <c r="AX92" s="1">
        <v>0.15</v>
      </c>
    </row>
    <row r="93" spans="2:50">
      <c r="B93" t="str">
        <f t="shared" si="1"/>
        <v>ID/OD(mm): 50/72, C/C0(kN): 14.6/11.8</v>
      </c>
      <c r="C93" s="101">
        <v>50</v>
      </c>
      <c r="D93" s="101">
        <v>72</v>
      </c>
      <c r="E93" s="101">
        <v>12</v>
      </c>
      <c r="F93" s="93">
        <v>14.6</v>
      </c>
      <c r="G93" s="101">
        <v>11.8</v>
      </c>
      <c r="H93" s="101">
        <v>0.5</v>
      </c>
      <c r="I93" s="101">
        <v>19000</v>
      </c>
      <c r="J93" s="101">
        <v>12000</v>
      </c>
      <c r="K93" s="1">
        <v>0.14000000000000001</v>
      </c>
      <c r="L93" s="1" t="s">
        <v>939</v>
      </c>
      <c r="M93" s="1">
        <v>50</v>
      </c>
      <c r="N93" s="1">
        <v>55.1</v>
      </c>
      <c r="O93" s="1">
        <v>59.9</v>
      </c>
      <c r="P93" s="1" t="s">
        <v>704</v>
      </c>
      <c r="Q93" s="1">
        <v>0.3</v>
      </c>
      <c r="R93" s="1">
        <v>52</v>
      </c>
      <c r="S93" s="1">
        <v>63</v>
      </c>
      <c r="T93" s="1">
        <v>0.3</v>
      </c>
      <c r="U93" s="1">
        <v>1.4999999999999999E-2</v>
      </c>
      <c r="V93" s="1">
        <v>17</v>
      </c>
      <c r="Y93" t="s">
        <v>940</v>
      </c>
      <c r="Z93" s="1">
        <v>80</v>
      </c>
      <c r="AA93" s="1">
        <v>170</v>
      </c>
      <c r="AB93" s="1">
        <v>58</v>
      </c>
      <c r="AC93" s="1">
        <v>415</v>
      </c>
      <c r="AD93" s="1">
        <v>440</v>
      </c>
      <c r="AE93" s="1">
        <v>55</v>
      </c>
      <c r="AF93" s="1">
        <v>4300</v>
      </c>
      <c r="AG93" s="1">
        <v>5000</v>
      </c>
      <c r="AH93" s="1">
        <v>5.85</v>
      </c>
      <c r="AI93" s="1" t="s">
        <v>941</v>
      </c>
      <c r="AJ93" s="1"/>
      <c r="AK93" s="1"/>
      <c r="AL93" s="1">
        <v>110</v>
      </c>
      <c r="AM93" s="1">
        <v>144</v>
      </c>
      <c r="AN93" s="1">
        <v>101</v>
      </c>
      <c r="AO93" s="1">
        <v>2.1</v>
      </c>
      <c r="AP93" s="1">
        <v>2.1</v>
      </c>
      <c r="AQ93" s="1">
        <v>5.0999999999999996</v>
      </c>
      <c r="AR93" s="1">
        <v>92</v>
      </c>
      <c r="AS93" s="1">
        <v>98</v>
      </c>
      <c r="AT93" s="1">
        <v>104</v>
      </c>
      <c r="AU93" s="1">
        <v>157</v>
      </c>
      <c r="AV93" s="1">
        <v>2</v>
      </c>
      <c r="AW93" s="1">
        <v>2</v>
      </c>
      <c r="AX93" s="1">
        <v>0.25</v>
      </c>
    </row>
    <row r="94" spans="2:50">
      <c r="B94" t="str">
        <f t="shared" si="1"/>
        <v>ID/OD(mm): 25/52, C/C0(kN): 14.8/7.8</v>
      </c>
      <c r="C94" s="101">
        <v>25</v>
      </c>
      <c r="D94" s="101">
        <v>52</v>
      </c>
      <c r="E94" s="101">
        <v>15</v>
      </c>
      <c r="F94" s="93">
        <v>14.8</v>
      </c>
      <c r="G94" s="101">
        <v>7.8</v>
      </c>
      <c r="H94" s="101">
        <v>0.33500000000000002</v>
      </c>
      <c r="I94" s="101">
        <v>28000</v>
      </c>
      <c r="J94" s="101">
        <v>18000</v>
      </c>
      <c r="K94" s="1">
        <v>0.13</v>
      </c>
      <c r="L94" s="1" t="s">
        <v>942</v>
      </c>
      <c r="M94" s="1">
        <v>32</v>
      </c>
      <c r="N94" s="1">
        <v>40</v>
      </c>
      <c r="O94" s="1">
        <v>42.2</v>
      </c>
      <c r="P94" s="1">
        <v>0.6</v>
      </c>
      <c r="Q94" s="1">
        <v>28.2</v>
      </c>
      <c r="R94" s="1">
        <v>43.8</v>
      </c>
      <c r="S94" s="1">
        <v>0.6</v>
      </c>
      <c r="T94" s="1">
        <v>2.5000000000000001E-2</v>
      </c>
      <c r="U94" s="1">
        <v>14</v>
      </c>
      <c r="Y94" t="s">
        <v>943</v>
      </c>
      <c r="Z94" s="1">
        <v>80</v>
      </c>
      <c r="AA94" s="1">
        <v>200</v>
      </c>
      <c r="AB94" s="1">
        <v>48</v>
      </c>
      <c r="AC94" s="1">
        <v>303</v>
      </c>
      <c r="AD94" s="1">
        <v>320</v>
      </c>
      <c r="AE94" s="1">
        <v>39</v>
      </c>
      <c r="AF94" s="1">
        <v>3800</v>
      </c>
      <c r="AG94" s="1">
        <v>4500</v>
      </c>
      <c r="AH94" s="1">
        <v>7.25</v>
      </c>
      <c r="AI94" s="1" t="s">
        <v>944</v>
      </c>
      <c r="AJ94" s="1"/>
      <c r="AK94" s="1"/>
      <c r="AL94" s="1">
        <v>122</v>
      </c>
      <c r="AM94" s="1">
        <v>157</v>
      </c>
      <c r="AN94" s="1">
        <v>110</v>
      </c>
      <c r="AO94" s="1">
        <v>3</v>
      </c>
      <c r="AP94" s="1">
        <v>3</v>
      </c>
      <c r="AQ94" s="1">
        <v>3.7</v>
      </c>
      <c r="AR94" s="1">
        <v>96</v>
      </c>
      <c r="AS94" s="1">
        <v>107</v>
      </c>
      <c r="AT94" s="1">
        <v>112</v>
      </c>
      <c r="AU94" s="1">
        <v>184</v>
      </c>
      <c r="AV94" s="1">
        <v>2.5</v>
      </c>
      <c r="AW94" s="1">
        <v>2.5</v>
      </c>
      <c r="AX94" s="1">
        <v>0.15</v>
      </c>
    </row>
    <row r="95" spans="2:50">
      <c r="B95" t="str">
        <f t="shared" si="1"/>
        <v>ID/OD(mm): 20/47, C/C0(kN): 15.6/7.65</v>
      </c>
      <c r="C95" s="101">
        <v>20</v>
      </c>
      <c r="D95" s="101">
        <v>47</v>
      </c>
      <c r="E95" s="101">
        <v>14</v>
      </c>
      <c r="F95" s="93">
        <v>15.6</v>
      </c>
      <c r="G95" s="101">
        <v>7.65</v>
      </c>
      <c r="H95" s="101">
        <v>0.32500000000000001</v>
      </c>
      <c r="I95" s="101">
        <v>32000</v>
      </c>
      <c r="J95" s="101">
        <v>20000</v>
      </c>
      <c r="K95" s="1">
        <v>9.8000000000000004E-2</v>
      </c>
      <c r="L95" s="1" t="s">
        <v>945</v>
      </c>
      <c r="N95" s="1">
        <v>28.8</v>
      </c>
      <c r="O95" s="1">
        <v>38.5</v>
      </c>
      <c r="P95" s="1">
        <v>40.6</v>
      </c>
      <c r="Q95" s="1">
        <v>1</v>
      </c>
      <c r="R95" s="1">
        <v>25.6</v>
      </c>
      <c r="S95" s="1">
        <v>41.4</v>
      </c>
      <c r="T95" s="1">
        <v>1</v>
      </c>
      <c r="U95" s="1">
        <v>2.5000000000000001E-2</v>
      </c>
      <c r="V95" s="1">
        <v>13</v>
      </c>
      <c r="Y95" t="s">
        <v>946</v>
      </c>
      <c r="Z95" s="1">
        <v>85</v>
      </c>
      <c r="AA95" s="1">
        <v>150</v>
      </c>
      <c r="AB95" s="1">
        <v>28</v>
      </c>
      <c r="AC95" s="1">
        <v>190</v>
      </c>
      <c r="AD95" s="1">
        <v>200</v>
      </c>
      <c r="AE95" s="1">
        <v>25</v>
      </c>
      <c r="AF95" s="1">
        <v>4800</v>
      </c>
      <c r="AG95" s="1">
        <v>5300</v>
      </c>
      <c r="AH95" s="1">
        <v>1.9</v>
      </c>
      <c r="AI95" s="1" t="s">
        <v>947</v>
      </c>
      <c r="AJ95" s="1"/>
      <c r="AK95" s="1"/>
      <c r="AL95" s="1">
        <v>107</v>
      </c>
      <c r="AM95" s="1">
        <v>131</v>
      </c>
      <c r="AN95" s="1">
        <v>100.5</v>
      </c>
      <c r="AO95" s="1">
        <v>2</v>
      </c>
      <c r="AP95" s="1">
        <v>2</v>
      </c>
      <c r="AQ95" s="1">
        <v>1.5</v>
      </c>
      <c r="AR95" s="1">
        <v>96</v>
      </c>
      <c r="AS95" s="1">
        <v>98</v>
      </c>
      <c r="AT95" s="1">
        <v>103</v>
      </c>
      <c r="AU95" s="1">
        <v>138</v>
      </c>
      <c r="AV95" s="1">
        <v>2</v>
      </c>
      <c r="AW95" s="1">
        <v>2</v>
      </c>
      <c r="AX95" s="1">
        <v>0.15</v>
      </c>
    </row>
    <row r="96" spans="2:50">
      <c r="B96" t="str">
        <f t="shared" si="1"/>
        <v>ID/OD(mm): 45/75, C/C0(kN): 16.5/10.8</v>
      </c>
      <c r="C96" s="101">
        <v>45</v>
      </c>
      <c r="D96" s="101">
        <v>75</v>
      </c>
      <c r="E96" s="101">
        <v>10</v>
      </c>
      <c r="F96" s="93">
        <v>16.5</v>
      </c>
      <c r="G96" s="101">
        <v>10.8</v>
      </c>
      <c r="H96" s="101">
        <v>0.52</v>
      </c>
      <c r="I96" s="101">
        <v>20000</v>
      </c>
      <c r="J96" s="101">
        <v>12000</v>
      </c>
      <c r="K96" s="1">
        <v>0.17</v>
      </c>
      <c r="L96" s="1" t="s">
        <v>948</v>
      </c>
      <c r="N96" s="1">
        <v>52.4</v>
      </c>
      <c r="O96" s="1">
        <v>60.6</v>
      </c>
      <c r="P96" s="1" t="s">
        <v>704</v>
      </c>
      <c r="Q96" s="1">
        <v>0.6</v>
      </c>
      <c r="R96" s="1">
        <v>48.2</v>
      </c>
      <c r="S96" s="1">
        <v>64.8</v>
      </c>
      <c r="T96" s="1">
        <v>0.6</v>
      </c>
      <c r="U96" s="1">
        <v>0.02</v>
      </c>
      <c r="V96" s="1">
        <v>16</v>
      </c>
      <c r="Y96" t="s">
        <v>949</v>
      </c>
      <c r="Z96" s="1">
        <v>85</v>
      </c>
      <c r="AA96" s="1">
        <v>150</v>
      </c>
      <c r="AB96" s="1">
        <v>36</v>
      </c>
      <c r="AC96" s="1">
        <v>250</v>
      </c>
      <c r="AD96" s="1">
        <v>280</v>
      </c>
      <c r="AE96" s="1">
        <v>34.5</v>
      </c>
      <c r="AF96" s="1">
        <v>4800</v>
      </c>
      <c r="AG96" s="1">
        <v>5300</v>
      </c>
      <c r="AH96" s="1">
        <v>2.5</v>
      </c>
      <c r="AI96" s="1" t="s">
        <v>950</v>
      </c>
      <c r="AJ96" s="1"/>
      <c r="AK96" s="1"/>
      <c r="AL96" s="1" t="s">
        <v>704</v>
      </c>
      <c r="AM96" s="1">
        <v>131</v>
      </c>
      <c r="AN96" s="1">
        <v>100.5</v>
      </c>
      <c r="AO96" s="1">
        <v>2</v>
      </c>
      <c r="AP96" s="1">
        <v>2</v>
      </c>
      <c r="AQ96" s="1">
        <v>2</v>
      </c>
      <c r="AR96" s="1">
        <v>96</v>
      </c>
      <c r="AS96" s="1">
        <v>98</v>
      </c>
      <c r="AT96" s="1">
        <v>103</v>
      </c>
      <c r="AU96" s="1">
        <v>138</v>
      </c>
      <c r="AV96" s="1">
        <v>2</v>
      </c>
      <c r="AW96" s="1">
        <v>2</v>
      </c>
      <c r="AX96" s="1">
        <v>0.2</v>
      </c>
    </row>
    <row r="97" spans="2:50">
      <c r="B97" t="str">
        <f t="shared" si="1"/>
        <v>ID/OD(mm): 55/80, C/C0(kN): 16.5/14</v>
      </c>
      <c r="C97" s="101">
        <v>55</v>
      </c>
      <c r="D97" s="101">
        <v>80</v>
      </c>
      <c r="E97" s="101">
        <v>13</v>
      </c>
      <c r="F97" s="93">
        <v>16.5</v>
      </c>
      <c r="G97" s="101">
        <v>14</v>
      </c>
      <c r="H97" s="101">
        <v>0.6</v>
      </c>
      <c r="I97" s="101">
        <v>17000</v>
      </c>
      <c r="J97" s="101">
        <v>11000</v>
      </c>
      <c r="K97" s="1">
        <v>0.19</v>
      </c>
      <c r="L97" s="1" t="s">
        <v>951</v>
      </c>
      <c r="M97" s="1">
        <v>55</v>
      </c>
      <c r="N97" s="1">
        <v>60.6</v>
      </c>
      <c r="O97" s="1">
        <v>66.400000000000006</v>
      </c>
      <c r="P97" s="1" t="s">
        <v>704</v>
      </c>
      <c r="Q97" s="1">
        <v>0.3</v>
      </c>
      <c r="R97" s="1">
        <v>57</v>
      </c>
      <c r="S97" s="1">
        <v>70</v>
      </c>
      <c r="T97" s="1">
        <v>0.3</v>
      </c>
      <c r="U97" s="1">
        <v>1.4999999999999999E-2</v>
      </c>
      <c r="V97" s="1">
        <v>17</v>
      </c>
      <c r="Y97" t="s">
        <v>952</v>
      </c>
      <c r="Z97" s="1">
        <v>85</v>
      </c>
      <c r="AA97" s="1">
        <v>180</v>
      </c>
      <c r="AB97" s="1">
        <v>41</v>
      </c>
      <c r="AC97" s="1">
        <v>340</v>
      </c>
      <c r="AD97" s="1">
        <v>335</v>
      </c>
      <c r="AE97" s="1">
        <v>41.5</v>
      </c>
      <c r="AF97" s="1">
        <v>4000</v>
      </c>
      <c r="AG97" s="1">
        <v>4800</v>
      </c>
      <c r="AH97" s="1">
        <v>4.6500000000000004</v>
      </c>
      <c r="AI97" s="1" t="s">
        <v>953</v>
      </c>
      <c r="AJ97" s="1"/>
      <c r="AK97" s="1"/>
      <c r="AL97" s="1">
        <v>117</v>
      </c>
      <c r="AM97" s="1">
        <v>153</v>
      </c>
      <c r="AN97" s="1">
        <v>108</v>
      </c>
      <c r="AO97" s="1">
        <v>3</v>
      </c>
      <c r="AP97" s="1">
        <v>3</v>
      </c>
      <c r="AQ97" s="1">
        <v>2.2999999999999998</v>
      </c>
      <c r="AR97" s="1">
        <v>99</v>
      </c>
      <c r="AS97" s="1">
        <v>105</v>
      </c>
      <c r="AT97" s="1">
        <v>111</v>
      </c>
      <c r="AU97" s="1">
        <v>165</v>
      </c>
      <c r="AV97" s="1">
        <v>2.5</v>
      </c>
      <c r="AW97" s="1">
        <v>2.5</v>
      </c>
      <c r="AX97" s="1">
        <v>0.15</v>
      </c>
    </row>
    <row r="98" spans="2:50">
      <c r="B98" t="str">
        <f t="shared" si="1"/>
        <v>ID/OD(mm): 60/85, C/C0(kN): 16.5/14.3</v>
      </c>
      <c r="C98" s="101">
        <v>60</v>
      </c>
      <c r="D98" s="101">
        <v>85</v>
      </c>
      <c r="E98" s="101">
        <v>13</v>
      </c>
      <c r="F98" s="93">
        <v>16.5</v>
      </c>
      <c r="G98" s="101">
        <v>14.3</v>
      </c>
      <c r="H98" s="101">
        <v>0.6</v>
      </c>
      <c r="I98" s="101">
        <v>16000</v>
      </c>
      <c r="J98" s="101">
        <v>10000</v>
      </c>
      <c r="K98" s="1">
        <v>0.2</v>
      </c>
      <c r="L98" s="1" t="s">
        <v>954</v>
      </c>
      <c r="M98" s="1">
        <v>60</v>
      </c>
      <c r="N98" s="1">
        <v>65.599999999999994</v>
      </c>
      <c r="O98" s="1">
        <v>72.400000000000006</v>
      </c>
      <c r="P98" s="1" t="s">
        <v>704</v>
      </c>
      <c r="Q98" s="1">
        <v>0.3</v>
      </c>
      <c r="R98" s="1">
        <v>62</v>
      </c>
      <c r="S98" s="1">
        <v>76</v>
      </c>
      <c r="T98" s="1">
        <v>0.3</v>
      </c>
      <c r="U98" s="1">
        <v>1.4999999999999999E-2</v>
      </c>
      <c r="V98" s="1">
        <v>17</v>
      </c>
      <c r="Y98" t="s">
        <v>955</v>
      </c>
      <c r="Z98" s="1">
        <v>85</v>
      </c>
      <c r="AA98" s="1">
        <v>180</v>
      </c>
      <c r="AB98" s="1">
        <v>60</v>
      </c>
      <c r="AC98" s="1">
        <v>455</v>
      </c>
      <c r="AD98" s="1">
        <v>490</v>
      </c>
      <c r="AE98" s="1">
        <v>60</v>
      </c>
      <c r="AF98" s="1">
        <v>4000</v>
      </c>
      <c r="AG98" s="1">
        <v>4800</v>
      </c>
      <c r="AH98" s="1">
        <v>6.85</v>
      </c>
      <c r="AI98" s="1" t="s">
        <v>956</v>
      </c>
      <c r="AJ98" s="1"/>
      <c r="AK98" s="1"/>
      <c r="AL98" s="1">
        <v>117</v>
      </c>
      <c r="AM98" s="1">
        <v>153</v>
      </c>
      <c r="AN98" s="1">
        <v>108</v>
      </c>
      <c r="AO98" s="1">
        <v>3</v>
      </c>
      <c r="AP98" s="1">
        <v>3</v>
      </c>
      <c r="AQ98" s="1">
        <v>5.8</v>
      </c>
      <c r="AR98" s="1">
        <v>99</v>
      </c>
      <c r="AS98" s="1">
        <v>105</v>
      </c>
      <c r="AT98" s="1">
        <v>111</v>
      </c>
      <c r="AU98" s="1">
        <v>165</v>
      </c>
      <c r="AV98" s="1">
        <v>2.5</v>
      </c>
      <c r="AW98" s="1">
        <v>2.5</v>
      </c>
      <c r="AX98" s="1">
        <v>0.25</v>
      </c>
    </row>
    <row r="99" spans="2:50">
      <c r="B99" t="str">
        <f t="shared" si="1"/>
        <v>ID/OD(mm): 50/80, C/C0(kN): 16.8/11.4</v>
      </c>
      <c r="C99" s="101">
        <v>50</v>
      </c>
      <c r="D99" s="101">
        <v>80</v>
      </c>
      <c r="E99" s="101">
        <v>10</v>
      </c>
      <c r="F99" s="93">
        <v>16.8</v>
      </c>
      <c r="G99" s="101">
        <v>11.4</v>
      </c>
      <c r="H99" s="101">
        <v>0.56000000000000005</v>
      </c>
      <c r="I99" s="101">
        <v>18000</v>
      </c>
      <c r="J99" s="101">
        <v>11000</v>
      </c>
      <c r="K99" s="1">
        <v>0.18</v>
      </c>
      <c r="L99" s="1" t="s">
        <v>957</v>
      </c>
      <c r="N99" s="1">
        <v>56.9</v>
      </c>
      <c r="O99" s="1">
        <v>65.099999999999994</v>
      </c>
      <c r="P99" s="1" t="s">
        <v>704</v>
      </c>
      <c r="Q99" s="1">
        <v>0.6</v>
      </c>
      <c r="R99" s="1">
        <v>53.2</v>
      </c>
      <c r="S99" s="1">
        <v>68.8</v>
      </c>
      <c r="T99" s="1">
        <v>0.6</v>
      </c>
      <c r="U99" s="1">
        <v>0.02</v>
      </c>
      <c r="V99" s="1">
        <v>16</v>
      </c>
      <c r="Y99" t="s">
        <v>958</v>
      </c>
      <c r="Z99" s="1">
        <v>85</v>
      </c>
      <c r="AA99" s="1">
        <v>210</v>
      </c>
      <c r="AB99" s="1">
        <v>52</v>
      </c>
      <c r="AC99" s="1">
        <v>319</v>
      </c>
      <c r="AD99" s="1">
        <v>335</v>
      </c>
      <c r="AE99" s="1">
        <v>39</v>
      </c>
      <c r="AF99" s="1">
        <v>3600</v>
      </c>
      <c r="AG99" s="1">
        <v>4300</v>
      </c>
      <c r="AH99" s="1">
        <v>8.6999999999999993</v>
      </c>
      <c r="AI99" s="1" t="s">
        <v>959</v>
      </c>
      <c r="AJ99" s="1"/>
      <c r="AK99" s="1"/>
      <c r="AL99" s="1">
        <v>126</v>
      </c>
      <c r="AM99" s="1">
        <v>163</v>
      </c>
      <c r="AN99" s="1">
        <v>113</v>
      </c>
      <c r="AO99" s="1">
        <v>4</v>
      </c>
      <c r="AP99" s="1">
        <v>4</v>
      </c>
      <c r="AQ99" s="1">
        <v>3.8</v>
      </c>
      <c r="AR99" s="1">
        <v>103</v>
      </c>
      <c r="AS99" s="1">
        <v>109</v>
      </c>
      <c r="AT99" s="1">
        <v>115</v>
      </c>
      <c r="AU99" s="1">
        <v>191</v>
      </c>
      <c r="AV99" s="1">
        <v>3</v>
      </c>
      <c r="AW99" s="1">
        <v>3</v>
      </c>
      <c r="AX99" s="1">
        <v>0.15</v>
      </c>
    </row>
    <row r="100" spans="2:50">
      <c r="B100" t="str">
        <f t="shared" si="1"/>
        <v>ID/OD(mm): 35/62, C/C0(kN): 16.8/10.2</v>
      </c>
      <c r="C100" s="101">
        <v>35</v>
      </c>
      <c r="D100" s="101">
        <v>62</v>
      </c>
      <c r="E100" s="101">
        <v>14</v>
      </c>
      <c r="F100" s="93">
        <v>16.8</v>
      </c>
      <c r="G100" s="101">
        <v>10.199999999999999</v>
      </c>
      <c r="H100" s="101">
        <v>0.44</v>
      </c>
      <c r="I100" s="101">
        <v>24000</v>
      </c>
      <c r="J100" s="101">
        <v>15000</v>
      </c>
      <c r="K100" s="1">
        <v>0.15</v>
      </c>
      <c r="L100" s="1" t="s">
        <v>960</v>
      </c>
      <c r="N100" s="1">
        <v>44</v>
      </c>
      <c r="O100" s="1">
        <v>53</v>
      </c>
      <c r="P100" s="1" t="s">
        <v>704</v>
      </c>
      <c r="Q100" s="1">
        <v>0.3</v>
      </c>
      <c r="R100" s="1">
        <v>37</v>
      </c>
      <c r="S100" s="1">
        <v>60</v>
      </c>
      <c r="T100" s="1">
        <v>0.3</v>
      </c>
      <c r="U100" s="1">
        <v>0.02</v>
      </c>
      <c r="V100" s="1">
        <v>14</v>
      </c>
      <c r="Y100" t="s">
        <v>961</v>
      </c>
      <c r="Z100" s="1">
        <v>90</v>
      </c>
      <c r="AA100" s="1">
        <v>140</v>
      </c>
      <c r="AB100" s="1">
        <v>24</v>
      </c>
      <c r="AC100" s="1">
        <v>80.900000000000006</v>
      </c>
      <c r="AD100" s="1">
        <v>104</v>
      </c>
      <c r="AE100" s="1">
        <v>12.7</v>
      </c>
      <c r="AF100" s="1">
        <v>5600</v>
      </c>
      <c r="AG100" s="1">
        <v>8500</v>
      </c>
      <c r="AH100" s="1">
        <v>1.35</v>
      </c>
      <c r="AI100" s="1" t="s">
        <v>962</v>
      </c>
      <c r="AJ100" s="1"/>
      <c r="AK100" s="1">
        <v>90</v>
      </c>
      <c r="AL100" s="1" t="s">
        <v>704</v>
      </c>
      <c r="AM100" s="1">
        <v>122</v>
      </c>
      <c r="AN100" s="1">
        <v>103</v>
      </c>
      <c r="AO100" s="1">
        <v>1.5</v>
      </c>
      <c r="AP100" s="1">
        <v>1.1000000000000001</v>
      </c>
      <c r="AQ100" s="1">
        <v>3.5</v>
      </c>
      <c r="AR100" s="1">
        <v>96</v>
      </c>
      <c r="AS100" s="1">
        <v>101</v>
      </c>
      <c r="AT100" s="1">
        <v>106</v>
      </c>
      <c r="AU100" s="1">
        <v>133</v>
      </c>
      <c r="AV100" s="1">
        <v>1.5</v>
      </c>
      <c r="AW100" s="1">
        <v>1</v>
      </c>
      <c r="AX100" s="1">
        <v>0.15</v>
      </c>
    </row>
    <row r="101" spans="2:50">
      <c r="B101" t="str">
        <f t="shared" si="1"/>
        <v>ID/OD(mm): 20/52, C/C0(kN): 16.8/7.8</v>
      </c>
      <c r="C101" s="101">
        <v>20</v>
      </c>
      <c r="D101" s="101">
        <v>52</v>
      </c>
      <c r="E101" s="101">
        <v>15</v>
      </c>
      <c r="F101" s="93">
        <v>16.8</v>
      </c>
      <c r="G101" s="101">
        <v>7.8</v>
      </c>
      <c r="H101" s="101">
        <v>0.33500000000000002</v>
      </c>
      <c r="I101" s="101">
        <v>30000</v>
      </c>
      <c r="J101" s="101">
        <v>19000</v>
      </c>
      <c r="K101" s="1">
        <v>0.14000000000000001</v>
      </c>
      <c r="L101" s="1" t="s">
        <v>963</v>
      </c>
      <c r="N101" s="1">
        <v>28.2</v>
      </c>
      <c r="O101" s="1">
        <v>39.6</v>
      </c>
      <c r="P101" s="1" t="s">
        <v>704</v>
      </c>
      <c r="Q101" s="1">
        <v>1</v>
      </c>
      <c r="R101" s="1">
        <v>25.6</v>
      </c>
      <c r="S101" s="1">
        <v>41.4</v>
      </c>
      <c r="T101" s="1">
        <v>1</v>
      </c>
      <c r="U101" s="1">
        <v>2.5000000000000001E-2</v>
      </c>
      <c r="V101" s="1">
        <v>12</v>
      </c>
      <c r="Y101" t="s">
        <v>964</v>
      </c>
      <c r="Z101" s="1">
        <v>90</v>
      </c>
      <c r="AA101" s="1">
        <v>160</v>
      </c>
      <c r="AB101" s="1">
        <v>30</v>
      </c>
      <c r="AC101" s="1">
        <v>208</v>
      </c>
      <c r="AD101" s="1">
        <v>220</v>
      </c>
      <c r="AE101" s="1">
        <v>27</v>
      </c>
      <c r="AF101" s="1">
        <v>4500</v>
      </c>
      <c r="AG101" s="1">
        <v>5000</v>
      </c>
      <c r="AH101" s="1">
        <v>2.2999999999999998</v>
      </c>
      <c r="AI101" s="1" t="s">
        <v>965</v>
      </c>
      <c r="AJ101" s="1"/>
      <c r="AK101" s="1"/>
      <c r="AL101" s="1">
        <v>114</v>
      </c>
      <c r="AM101" s="1">
        <v>140</v>
      </c>
      <c r="AN101" s="1">
        <v>107</v>
      </c>
      <c r="AO101" s="1">
        <v>2</v>
      </c>
      <c r="AP101" s="1">
        <v>2</v>
      </c>
      <c r="AQ101" s="1">
        <v>1.8</v>
      </c>
      <c r="AR101" s="1">
        <v>101</v>
      </c>
      <c r="AS101" s="1">
        <v>104</v>
      </c>
      <c r="AT101" s="1">
        <v>110</v>
      </c>
      <c r="AU101" s="1">
        <v>149</v>
      </c>
      <c r="AV101" s="1">
        <v>2</v>
      </c>
      <c r="AW101" s="1">
        <v>2</v>
      </c>
      <c r="AX101" s="1">
        <v>0.15</v>
      </c>
    </row>
    <row r="102" spans="2:50">
      <c r="B102" t="str">
        <f t="shared" si="1"/>
        <v>ID/OD(mm): 28/58, C/C0(kN): 16.8/9.5</v>
      </c>
      <c r="C102" s="101">
        <v>28</v>
      </c>
      <c r="D102" s="101">
        <v>58</v>
      </c>
      <c r="E102" s="101">
        <v>16</v>
      </c>
      <c r="F102" s="93">
        <v>16.8</v>
      </c>
      <c r="G102" s="101">
        <v>9.5</v>
      </c>
      <c r="H102" s="101">
        <v>0.40500000000000003</v>
      </c>
      <c r="I102" s="101">
        <v>26000</v>
      </c>
      <c r="J102" s="101">
        <v>16000</v>
      </c>
      <c r="K102" s="1">
        <v>0.17</v>
      </c>
      <c r="L102" s="1" t="s">
        <v>966</v>
      </c>
      <c r="N102" s="1">
        <v>45.4</v>
      </c>
      <c r="O102" s="1">
        <v>62.9</v>
      </c>
      <c r="P102" s="1" t="s">
        <v>704</v>
      </c>
      <c r="Q102" s="1">
        <v>1.5</v>
      </c>
      <c r="R102" s="1">
        <v>34</v>
      </c>
      <c r="S102" s="1">
        <v>71</v>
      </c>
      <c r="T102" s="1">
        <v>1.5</v>
      </c>
      <c r="U102" s="1">
        <v>3.5000000000000003E-2</v>
      </c>
      <c r="V102" s="1">
        <v>12</v>
      </c>
      <c r="Y102" t="s">
        <v>967</v>
      </c>
      <c r="Z102" s="1">
        <v>90</v>
      </c>
      <c r="AA102" s="1">
        <v>160</v>
      </c>
      <c r="AB102" s="1">
        <v>40</v>
      </c>
      <c r="AC102" s="1">
        <v>280</v>
      </c>
      <c r="AD102" s="1">
        <v>315</v>
      </c>
      <c r="AE102" s="1">
        <v>39</v>
      </c>
      <c r="AF102" s="1">
        <v>4500</v>
      </c>
      <c r="AG102" s="1">
        <v>5000</v>
      </c>
      <c r="AH102" s="1">
        <v>3.15</v>
      </c>
      <c r="AI102" s="1" t="s">
        <v>968</v>
      </c>
      <c r="AJ102" s="1"/>
      <c r="AK102" s="1"/>
      <c r="AL102" s="1">
        <v>114</v>
      </c>
      <c r="AM102" s="1">
        <v>140</v>
      </c>
      <c r="AN102" s="1">
        <v>107</v>
      </c>
      <c r="AO102" s="1">
        <v>2</v>
      </c>
      <c r="AP102" s="1">
        <v>2</v>
      </c>
      <c r="AQ102" s="1">
        <v>2.6</v>
      </c>
      <c r="AR102" s="1">
        <v>101</v>
      </c>
      <c r="AS102" s="1">
        <v>104</v>
      </c>
      <c r="AT102" s="1">
        <v>110</v>
      </c>
      <c r="AU102" s="1">
        <v>149</v>
      </c>
      <c r="AV102" s="1">
        <v>2</v>
      </c>
      <c r="AW102" s="1">
        <v>2</v>
      </c>
      <c r="AX102" s="1">
        <v>0.2</v>
      </c>
    </row>
    <row r="103" spans="2:50">
      <c r="B103" t="str">
        <f t="shared" si="1"/>
        <v>ID/OD(mm): 65/90, C/C0(kN): 17.4/16</v>
      </c>
      <c r="C103" s="101">
        <v>65</v>
      </c>
      <c r="D103" s="101">
        <v>90</v>
      </c>
      <c r="E103" s="101">
        <v>13</v>
      </c>
      <c r="F103" s="93">
        <v>17.399999999999999</v>
      </c>
      <c r="G103" s="101">
        <v>16</v>
      </c>
      <c r="H103" s="101">
        <v>0.68</v>
      </c>
      <c r="I103" s="101">
        <v>15000</v>
      </c>
      <c r="J103" s="101">
        <v>9500</v>
      </c>
      <c r="K103" s="1">
        <v>0.22</v>
      </c>
      <c r="L103" s="1" t="s">
        <v>969</v>
      </c>
      <c r="M103" s="1">
        <v>65</v>
      </c>
      <c r="N103" s="1">
        <v>71.599999999999994</v>
      </c>
      <c r="O103" s="1">
        <v>78.400000000000006</v>
      </c>
      <c r="P103" s="1" t="s">
        <v>704</v>
      </c>
      <c r="Q103" s="1">
        <v>0.6</v>
      </c>
      <c r="R103" s="1">
        <v>68.2</v>
      </c>
      <c r="S103" s="1">
        <v>81.8</v>
      </c>
      <c r="T103" s="1">
        <v>0.6</v>
      </c>
      <c r="U103" s="1">
        <v>1.4999999999999999E-2</v>
      </c>
      <c r="V103" s="1">
        <v>17</v>
      </c>
      <c r="Y103" t="s">
        <v>970</v>
      </c>
      <c r="Z103" s="1">
        <v>90</v>
      </c>
      <c r="AA103" s="1">
        <v>190</v>
      </c>
      <c r="AB103" s="1">
        <v>43</v>
      </c>
      <c r="AC103" s="1">
        <v>365</v>
      </c>
      <c r="AD103" s="1">
        <v>360</v>
      </c>
      <c r="AE103" s="1">
        <v>43</v>
      </c>
      <c r="AF103" s="1">
        <v>3800</v>
      </c>
      <c r="AG103" s="1">
        <v>4500</v>
      </c>
      <c r="AH103" s="1">
        <v>5.25</v>
      </c>
      <c r="AI103" s="1" t="s">
        <v>971</v>
      </c>
      <c r="AJ103" s="1"/>
      <c r="AK103" s="1"/>
      <c r="AL103" s="1">
        <v>124</v>
      </c>
      <c r="AM103" s="1">
        <v>162</v>
      </c>
      <c r="AN103" s="1">
        <v>113.5</v>
      </c>
      <c r="AO103" s="1">
        <v>3</v>
      </c>
      <c r="AP103" s="1">
        <v>3</v>
      </c>
      <c r="AQ103" s="1">
        <v>2.5</v>
      </c>
      <c r="AR103" s="1">
        <v>104</v>
      </c>
      <c r="AS103" s="1">
        <v>110</v>
      </c>
      <c r="AT103" s="1">
        <v>116</v>
      </c>
      <c r="AU103" s="1">
        <v>175</v>
      </c>
      <c r="AV103" s="1">
        <v>2.5</v>
      </c>
      <c r="AW103" s="1">
        <v>2.5</v>
      </c>
      <c r="AX103" s="1">
        <v>0.15</v>
      </c>
    </row>
    <row r="104" spans="2:50">
      <c r="B104" t="str">
        <f t="shared" si="1"/>
        <v>ID/OD(mm): 100/125, C/C0(kN): 17.8/18.3</v>
      </c>
      <c r="C104" s="101">
        <v>100</v>
      </c>
      <c r="D104" s="101">
        <v>125</v>
      </c>
      <c r="E104" s="101">
        <v>13</v>
      </c>
      <c r="F104" s="93">
        <v>17.8</v>
      </c>
      <c r="G104" s="101">
        <v>18.3</v>
      </c>
      <c r="H104" s="101">
        <v>0.95</v>
      </c>
      <c r="I104" s="101">
        <v>10000</v>
      </c>
      <c r="J104" s="101">
        <v>6300</v>
      </c>
      <c r="K104" s="1">
        <v>0.31</v>
      </c>
      <c r="L104" s="1" t="s">
        <v>972</v>
      </c>
      <c r="N104" s="1">
        <v>127</v>
      </c>
      <c r="O104" s="1">
        <v>168</v>
      </c>
      <c r="P104" s="1">
        <v>172</v>
      </c>
      <c r="Q104" s="1">
        <v>3</v>
      </c>
      <c r="R104" s="1">
        <v>109</v>
      </c>
      <c r="S104" s="1">
        <v>186</v>
      </c>
      <c r="T104" s="1">
        <v>2.5</v>
      </c>
      <c r="U104" s="1">
        <v>0.03</v>
      </c>
      <c r="V104" s="1">
        <v>13</v>
      </c>
      <c r="Y104" t="s">
        <v>973</v>
      </c>
      <c r="Z104" s="1">
        <v>90</v>
      </c>
      <c r="AA104" s="1">
        <v>190</v>
      </c>
      <c r="AB104" s="1">
        <v>64</v>
      </c>
      <c r="AC104" s="1">
        <v>500</v>
      </c>
      <c r="AD104" s="1">
        <v>540</v>
      </c>
      <c r="AE104" s="1">
        <v>65.5</v>
      </c>
      <c r="AF104" s="1">
        <v>3800</v>
      </c>
      <c r="AG104" s="1">
        <v>4500</v>
      </c>
      <c r="AH104" s="1">
        <v>8</v>
      </c>
      <c r="AI104" s="1" t="s">
        <v>974</v>
      </c>
      <c r="AJ104" s="1"/>
      <c r="AK104" s="1"/>
      <c r="AL104" s="1">
        <v>124</v>
      </c>
      <c r="AM104" s="1">
        <v>162</v>
      </c>
      <c r="AN104" s="1">
        <v>113.5</v>
      </c>
      <c r="AO104" s="1">
        <v>3</v>
      </c>
      <c r="AP104" s="1">
        <v>3</v>
      </c>
      <c r="AQ104" s="1">
        <v>6</v>
      </c>
      <c r="AR104" s="1">
        <v>104</v>
      </c>
      <c r="AS104" s="1">
        <v>110</v>
      </c>
      <c r="AT104" s="1">
        <v>116</v>
      </c>
      <c r="AU104" s="1">
        <v>175</v>
      </c>
      <c r="AV104" s="1">
        <v>2.5</v>
      </c>
      <c r="AW104" s="1">
        <v>2.5</v>
      </c>
      <c r="AX104" s="1">
        <v>0.25</v>
      </c>
    </row>
    <row r="105" spans="2:50">
      <c r="B105" t="str">
        <f t="shared" si="1"/>
        <v>ID/OD(mm): 25/52, C/C0(kN): 17.8/9.8</v>
      </c>
      <c r="C105" s="101">
        <v>25</v>
      </c>
      <c r="D105" s="101">
        <v>52</v>
      </c>
      <c r="E105" s="101">
        <v>15</v>
      </c>
      <c r="F105" s="93">
        <v>17.8</v>
      </c>
      <c r="G105" s="101">
        <v>9.8000000000000007</v>
      </c>
      <c r="H105" s="101">
        <v>0.4</v>
      </c>
      <c r="I105" s="101">
        <v>28000</v>
      </c>
      <c r="J105" s="101">
        <v>18000</v>
      </c>
      <c r="K105" s="1">
        <v>0.12</v>
      </c>
      <c r="L105" s="1" t="s">
        <v>975</v>
      </c>
      <c r="N105" s="1">
        <v>34.299999999999997</v>
      </c>
      <c r="O105" s="1">
        <v>44</v>
      </c>
      <c r="P105" s="1">
        <v>46.3</v>
      </c>
      <c r="Q105" s="1">
        <v>1</v>
      </c>
      <c r="R105" s="1">
        <v>30.6</v>
      </c>
      <c r="S105" s="1">
        <v>46.4</v>
      </c>
      <c r="T105" s="1">
        <v>1</v>
      </c>
      <c r="U105" s="1">
        <v>2.5000000000000001E-2</v>
      </c>
      <c r="V105" s="1">
        <v>14</v>
      </c>
      <c r="Y105" t="s">
        <v>976</v>
      </c>
      <c r="Z105" s="1">
        <v>90</v>
      </c>
      <c r="AA105" s="1">
        <v>225</v>
      </c>
      <c r="AB105" s="1">
        <v>54</v>
      </c>
      <c r="AC105" s="1">
        <v>380</v>
      </c>
      <c r="AD105" s="1">
        <v>415</v>
      </c>
      <c r="AE105" s="1">
        <v>48</v>
      </c>
      <c r="AF105" s="1">
        <v>3400</v>
      </c>
      <c r="AG105" s="1">
        <v>4000</v>
      </c>
      <c r="AH105" s="1">
        <v>10.5</v>
      </c>
      <c r="AI105" s="1" t="s">
        <v>977</v>
      </c>
      <c r="AJ105" s="1"/>
      <c r="AK105" s="1"/>
      <c r="AL105" s="1" t="s">
        <v>704</v>
      </c>
      <c r="AM105" s="1">
        <v>176</v>
      </c>
      <c r="AN105" s="1">
        <v>123.5</v>
      </c>
      <c r="AO105" s="1">
        <v>4</v>
      </c>
      <c r="AP105" s="1">
        <v>4</v>
      </c>
      <c r="AQ105" s="1">
        <v>4.9000000000000004</v>
      </c>
      <c r="AR105" s="1">
        <v>108</v>
      </c>
      <c r="AS105" s="1">
        <v>120</v>
      </c>
      <c r="AT105" s="1">
        <v>126</v>
      </c>
      <c r="AU105" s="1">
        <v>205</v>
      </c>
      <c r="AV105" s="1">
        <v>3</v>
      </c>
      <c r="AW105" s="1">
        <v>3</v>
      </c>
      <c r="AX105" s="1">
        <v>0.15</v>
      </c>
    </row>
    <row r="106" spans="2:50">
      <c r="B106" t="str">
        <f t="shared" si="1"/>
        <v>ID/OD(mm): 40/68, C/C0(kN): 17.8/11</v>
      </c>
      <c r="C106" s="101">
        <v>40</v>
      </c>
      <c r="D106" s="101">
        <v>68</v>
      </c>
      <c r="E106" s="101">
        <v>15</v>
      </c>
      <c r="F106" s="93">
        <v>17.8</v>
      </c>
      <c r="G106" s="101">
        <v>11</v>
      </c>
      <c r="H106" s="101">
        <v>0.49</v>
      </c>
      <c r="I106" s="101">
        <v>22000</v>
      </c>
      <c r="J106" s="101">
        <v>14000</v>
      </c>
      <c r="K106" s="1">
        <v>0.19</v>
      </c>
      <c r="L106" s="1" t="s">
        <v>978</v>
      </c>
      <c r="N106" s="1">
        <v>49.4</v>
      </c>
      <c r="O106" s="1">
        <v>58.6</v>
      </c>
      <c r="P106" s="1" t="s">
        <v>704</v>
      </c>
      <c r="Q106" s="1">
        <v>0.3</v>
      </c>
      <c r="R106" s="1">
        <v>42</v>
      </c>
      <c r="S106" s="1">
        <v>66</v>
      </c>
      <c r="T106" s="1">
        <v>0.3</v>
      </c>
      <c r="U106" s="1">
        <v>0.02</v>
      </c>
      <c r="V106" s="1">
        <v>16</v>
      </c>
      <c r="Y106" t="s">
        <v>979</v>
      </c>
      <c r="Z106" s="1">
        <v>95</v>
      </c>
      <c r="AA106" s="1">
        <v>145</v>
      </c>
      <c r="AB106" s="1">
        <v>24</v>
      </c>
      <c r="AC106" s="1">
        <v>84.2</v>
      </c>
      <c r="AD106" s="1">
        <v>110</v>
      </c>
      <c r="AE106" s="1">
        <v>13.2</v>
      </c>
      <c r="AF106" s="1">
        <v>5300</v>
      </c>
      <c r="AG106" s="1">
        <v>8000</v>
      </c>
      <c r="AH106" s="1">
        <v>1.45</v>
      </c>
      <c r="AI106" s="1" t="s">
        <v>980</v>
      </c>
      <c r="AJ106" s="1"/>
      <c r="AK106" s="1">
        <v>95</v>
      </c>
      <c r="AL106" s="1" t="s">
        <v>704</v>
      </c>
      <c r="AM106" s="1">
        <v>127</v>
      </c>
      <c r="AN106" s="1">
        <v>108</v>
      </c>
      <c r="AO106" s="1">
        <v>1.5</v>
      </c>
      <c r="AP106" s="1">
        <v>1.1000000000000001</v>
      </c>
      <c r="AQ106" s="1">
        <v>3.5</v>
      </c>
      <c r="AR106" s="1">
        <v>101</v>
      </c>
      <c r="AS106" s="1">
        <v>106</v>
      </c>
      <c r="AT106" s="1">
        <v>111</v>
      </c>
      <c r="AU106" s="1">
        <v>138</v>
      </c>
      <c r="AV106" s="1">
        <v>1.5</v>
      </c>
      <c r="AW106" s="1">
        <v>1</v>
      </c>
      <c r="AX106" s="1">
        <v>0.15</v>
      </c>
    </row>
    <row r="107" spans="2:50">
      <c r="B107" t="str">
        <f t="shared" si="1"/>
        <v>ID/OD(mm): 20/52, C/C0(kN): 18.2/9</v>
      </c>
      <c r="C107" s="101">
        <v>20</v>
      </c>
      <c r="D107" s="101">
        <v>52</v>
      </c>
      <c r="E107" s="101">
        <v>15</v>
      </c>
      <c r="F107" s="93">
        <v>18.2</v>
      </c>
      <c r="G107" s="101">
        <v>9</v>
      </c>
      <c r="H107" s="101">
        <v>0.38</v>
      </c>
      <c r="I107" s="101">
        <v>30000</v>
      </c>
      <c r="J107" s="101">
        <v>19000</v>
      </c>
      <c r="K107" s="1">
        <v>0.14000000000000001</v>
      </c>
      <c r="L107" s="1" t="s">
        <v>981</v>
      </c>
      <c r="N107" s="1">
        <v>30.3</v>
      </c>
      <c r="O107" s="1">
        <v>41.6</v>
      </c>
      <c r="P107" s="1">
        <v>44.8</v>
      </c>
      <c r="Q107" s="1">
        <v>1.1000000000000001</v>
      </c>
      <c r="R107" s="1">
        <v>27</v>
      </c>
      <c r="S107" s="1">
        <v>45</v>
      </c>
      <c r="T107" s="1">
        <v>1</v>
      </c>
      <c r="U107" s="1">
        <v>0.03</v>
      </c>
      <c r="V107" s="1">
        <v>12</v>
      </c>
      <c r="Y107" t="s">
        <v>982</v>
      </c>
      <c r="Z107" s="1">
        <v>95</v>
      </c>
      <c r="AA107" s="1">
        <v>170</v>
      </c>
      <c r="AB107" s="1">
        <v>32</v>
      </c>
      <c r="AC107" s="1">
        <v>255</v>
      </c>
      <c r="AD107" s="1">
        <v>265</v>
      </c>
      <c r="AE107" s="1">
        <v>32.5</v>
      </c>
      <c r="AF107" s="1">
        <v>4300</v>
      </c>
      <c r="AG107" s="1">
        <v>4800</v>
      </c>
      <c r="AH107" s="1">
        <v>2.85</v>
      </c>
      <c r="AI107" s="1" t="s">
        <v>983</v>
      </c>
      <c r="AJ107" s="1"/>
      <c r="AK107" s="1"/>
      <c r="AL107" s="1">
        <v>120</v>
      </c>
      <c r="AM107" s="1">
        <v>149</v>
      </c>
      <c r="AN107" s="1">
        <v>112.5</v>
      </c>
      <c r="AO107" s="1">
        <v>2.1</v>
      </c>
      <c r="AP107" s="1">
        <v>2.1</v>
      </c>
      <c r="AQ107" s="1">
        <v>1.7</v>
      </c>
      <c r="AR107" s="1">
        <v>107</v>
      </c>
      <c r="AS107" s="1">
        <v>110</v>
      </c>
      <c r="AT107" s="1">
        <v>115</v>
      </c>
      <c r="AU107" s="1">
        <v>157</v>
      </c>
      <c r="AV107" s="1">
        <v>2</v>
      </c>
      <c r="AW107" s="1">
        <v>2</v>
      </c>
      <c r="AX107" s="1">
        <v>0.15</v>
      </c>
    </row>
    <row r="108" spans="2:50">
      <c r="B108" t="str">
        <f t="shared" si="1"/>
        <v>ID/OD(mm): 22/56, C/C0(kN): 18.6/9.3</v>
      </c>
      <c r="C108" s="101">
        <v>22</v>
      </c>
      <c r="D108" s="101">
        <v>56</v>
      </c>
      <c r="E108" s="101">
        <v>16</v>
      </c>
      <c r="F108" s="93">
        <v>18.600000000000001</v>
      </c>
      <c r="G108" s="101">
        <v>9.3000000000000007</v>
      </c>
      <c r="H108" s="101">
        <v>0.39</v>
      </c>
      <c r="I108" s="101">
        <v>28000</v>
      </c>
      <c r="J108" s="101">
        <v>18000</v>
      </c>
      <c r="K108" s="1">
        <v>0.18</v>
      </c>
      <c r="L108" s="1" t="s">
        <v>984</v>
      </c>
      <c r="M108" s="1">
        <v>22</v>
      </c>
      <c r="N108" s="1">
        <v>32.200000000000003</v>
      </c>
      <c r="O108" s="1">
        <v>41.8</v>
      </c>
      <c r="P108" s="1">
        <v>44</v>
      </c>
      <c r="Q108" s="1">
        <v>1</v>
      </c>
      <c r="R108" s="1">
        <v>27.6</v>
      </c>
      <c r="S108" s="1">
        <v>44.4</v>
      </c>
      <c r="T108" s="1">
        <v>1</v>
      </c>
      <c r="U108" s="1">
        <v>2.5000000000000001E-2</v>
      </c>
      <c r="V108" s="1">
        <v>14</v>
      </c>
      <c r="Y108" t="s">
        <v>985</v>
      </c>
      <c r="Z108" s="1">
        <v>95</v>
      </c>
      <c r="AA108" s="1">
        <v>170</v>
      </c>
      <c r="AB108" s="1">
        <v>43</v>
      </c>
      <c r="AC108" s="1">
        <v>325</v>
      </c>
      <c r="AD108" s="1">
        <v>375</v>
      </c>
      <c r="AE108" s="1">
        <v>45.5</v>
      </c>
      <c r="AF108" s="1">
        <v>4300</v>
      </c>
      <c r="AG108" s="1">
        <v>4800</v>
      </c>
      <c r="AH108" s="1">
        <v>3.8</v>
      </c>
      <c r="AI108" s="1" t="s">
        <v>986</v>
      </c>
      <c r="AJ108" s="1"/>
      <c r="AK108" s="1"/>
      <c r="AL108" s="1" t="s">
        <v>704</v>
      </c>
      <c r="AM108" s="1">
        <v>149</v>
      </c>
      <c r="AN108" s="1">
        <v>112.5</v>
      </c>
      <c r="AO108" s="1">
        <v>2.1</v>
      </c>
      <c r="AP108" s="1">
        <v>2.1</v>
      </c>
      <c r="AQ108" s="1">
        <v>3</v>
      </c>
      <c r="AR108" s="1">
        <v>107</v>
      </c>
      <c r="AS108" s="1">
        <v>110</v>
      </c>
      <c r="AT108" s="1">
        <v>115</v>
      </c>
      <c r="AU108" s="1">
        <v>157</v>
      </c>
      <c r="AV108" s="1">
        <v>2</v>
      </c>
      <c r="AW108" s="1">
        <v>2</v>
      </c>
      <c r="AX108" s="1">
        <v>0.2</v>
      </c>
    </row>
    <row r="109" spans="2:50">
      <c r="B109" t="str">
        <f t="shared" si="1"/>
        <v>ID/OD(mm): 85/110, C/C0(kN): 19.5/20.8</v>
      </c>
      <c r="C109" s="101">
        <v>85</v>
      </c>
      <c r="D109" s="101">
        <v>110</v>
      </c>
      <c r="E109" s="101">
        <v>13</v>
      </c>
      <c r="F109" s="93">
        <v>19.5</v>
      </c>
      <c r="G109" s="101">
        <v>20.8</v>
      </c>
      <c r="H109" s="101">
        <v>0.88</v>
      </c>
      <c r="I109" s="101">
        <v>12000</v>
      </c>
      <c r="J109" s="101">
        <v>7500</v>
      </c>
      <c r="K109" s="1">
        <v>0.27</v>
      </c>
      <c r="L109" s="1" t="s">
        <v>987</v>
      </c>
      <c r="N109" s="1">
        <v>116</v>
      </c>
      <c r="O109" s="1">
        <v>163</v>
      </c>
      <c r="P109" s="1" t="s">
        <v>704</v>
      </c>
      <c r="Q109" s="1">
        <v>3</v>
      </c>
      <c r="R109" s="1">
        <v>96</v>
      </c>
      <c r="S109" s="1">
        <v>184</v>
      </c>
      <c r="T109" s="1">
        <v>2.5</v>
      </c>
      <c r="U109" s="1">
        <v>3.5000000000000003E-2</v>
      </c>
      <c r="V109" s="1">
        <v>12</v>
      </c>
      <c r="Y109" t="s">
        <v>988</v>
      </c>
      <c r="Z109" s="1">
        <v>95</v>
      </c>
      <c r="AA109" s="1">
        <v>200</v>
      </c>
      <c r="AB109" s="1">
        <v>45</v>
      </c>
      <c r="AC109" s="1">
        <v>390</v>
      </c>
      <c r="AD109" s="1">
        <v>390</v>
      </c>
      <c r="AE109" s="1">
        <v>46.5</v>
      </c>
      <c r="AF109" s="1">
        <v>3600</v>
      </c>
      <c r="AG109" s="1">
        <v>4300</v>
      </c>
      <c r="AH109" s="1">
        <v>6.2</v>
      </c>
      <c r="AI109" s="1" t="s">
        <v>989</v>
      </c>
      <c r="AJ109" s="1"/>
      <c r="AK109" s="1"/>
      <c r="AL109" s="1">
        <v>132</v>
      </c>
      <c r="AM109" s="1">
        <v>170</v>
      </c>
      <c r="AN109" s="1">
        <v>121.5</v>
      </c>
      <c r="AO109" s="1">
        <v>3</v>
      </c>
      <c r="AP109" s="1">
        <v>3</v>
      </c>
      <c r="AQ109" s="1">
        <v>2.9</v>
      </c>
      <c r="AR109" s="1">
        <v>110</v>
      </c>
      <c r="AS109" s="1">
        <v>118</v>
      </c>
      <c r="AT109" s="1">
        <v>125</v>
      </c>
      <c r="AU109" s="1">
        <v>185</v>
      </c>
      <c r="AV109" s="1">
        <v>2.5</v>
      </c>
      <c r="AW109" s="1">
        <v>2.5</v>
      </c>
      <c r="AX109" s="1">
        <v>0.15</v>
      </c>
    </row>
    <row r="110" spans="2:50">
      <c r="B110" t="str">
        <f t="shared" si="1"/>
        <v>ID/OD(mm): 90/115, C/C0(kN): 19.5/22</v>
      </c>
      <c r="C110" s="101">
        <v>90</v>
      </c>
      <c r="D110" s="101">
        <v>115</v>
      </c>
      <c r="E110" s="101">
        <v>13</v>
      </c>
      <c r="F110" s="93">
        <v>19.5</v>
      </c>
      <c r="G110" s="101">
        <v>22</v>
      </c>
      <c r="H110" s="101">
        <v>0.91500000000000004</v>
      </c>
      <c r="I110" s="101">
        <v>11000</v>
      </c>
      <c r="J110" s="101">
        <v>7000</v>
      </c>
      <c r="K110" s="1">
        <v>0.28000000000000003</v>
      </c>
      <c r="L110" s="1" t="s">
        <v>990</v>
      </c>
      <c r="N110" s="1">
        <v>123</v>
      </c>
      <c r="O110" s="1">
        <v>172</v>
      </c>
      <c r="P110" s="1" t="s">
        <v>704</v>
      </c>
      <c r="Q110" s="1">
        <v>4</v>
      </c>
      <c r="R110" s="1">
        <v>105</v>
      </c>
      <c r="S110" s="1">
        <v>190</v>
      </c>
      <c r="T110" s="1">
        <v>3</v>
      </c>
      <c r="U110" s="1">
        <v>3.5000000000000003E-2</v>
      </c>
      <c r="V110" s="1">
        <v>12</v>
      </c>
      <c r="Y110" t="s">
        <v>991</v>
      </c>
      <c r="Z110" s="1">
        <v>95</v>
      </c>
      <c r="AA110" s="1">
        <v>200</v>
      </c>
      <c r="AB110" s="1">
        <v>67</v>
      </c>
      <c r="AC110" s="1">
        <v>530</v>
      </c>
      <c r="AD110" s="1">
        <v>585</v>
      </c>
      <c r="AE110" s="1">
        <v>69.5</v>
      </c>
      <c r="AF110" s="1">
        <v>3600</v>
      </c>
      <c r="AG110" s="1">
        <v>4300</v>
      </c>
      <c r="AH110" s="1">
        <v>9.35</v>
      </c>
      <c r="AI110" s="1" t="s">
        <v>992</v>
      </c>
      <c r="AJ110" s="1"/>
      <c r="AK110" s="1"/>
      <c r="AL110" s="1">
        <v>132</v>
      </c>
      <c r="AM110" s="1">
        <v>170</v>
      </c>
      <c r="AN110" s="1">
        <v>121.5</v>
      </c>
      <c r="AO110" s="1">
        <v>3</v>
      </c>
      <c r="AP110" s="1">
        <v>3</v>
      </c>
      <c r="AQ110" s="1">
        <v>6.9</v>
      </c>
      <c r="AR110" s="1">
        <v>110</v>
      </c>
      <c r="AS110" s="1">
        <v>118</v>
      </c>
      <c r="AT110" s="1">
        <v>125</v>
      </c>
      <c r="AU110" s="1">
        <v>185</v>
      </c>
      <c r="AV110" s="1">
        <v>2.5</v>
      </c>
      <c r="AW110" s="1">
        <v>2.5</v>
      </c>
      <c r="AX110" s="1">
        <v>0.25</v>
      </c>
    </row>
    <row r="111" spans="2:50">
      <c r="B111" t="str">
        <f t="shared" si="1"/>
        <v>ID/OD(mm): 95/120, C/C0(kN): 19.9/22.8</v>
      </c>
      <c r="C111" s="101">
        <v>95</v>
      </c>
      <c r="D111" s="101">
        <v>120</v>
      </c>
      <c r="E111" s="101">
        <v>13</v>
      </c>
      <c r="F111" s="93">
        <v>19.899999999999999</v>
      </c>
      <c r="G111" s="101">
        <v>22.8</v>
      </c>
      <c r="H111" s="101">
        <v>0.93</v>
      </c>
      <c r="I111" s="101">
        <v>11000</v>
      </c>
      <c r="J111" s="101">
        <v>6700</v>
      </c>
      <c r="K111" s="1">
        <v>0.3</v>
      </c>
      <c r="L111" s="1" t="s">
        <v>993</v>
      </c>
      <c r="N111" s="1">
        <v>132</v>
      </c>
      <c r="O111" s="1">
        <v>181</v>
      </c>
      <c r="P111" s="1" t="s">
        <v>704</v>
      </c>
      <c r="Q111" s="1">
        <v>4</v>
      </c>
      <c r="R111" s="1">
        <v>110</v>
      </c>
      <c r="S111" s="1">
        <v>205</v>
      </c>
      <c r="T111" s="1">
        <v>3</v>
      </c>
      <c r="U111" s="1">
        <v>3.5000000000000003E-2</v>
      </c>
      <c r="V111" s="1">
        <v>13</v>
      </c>
      <c r="Y111" t="s">
        <v>994</v>
      </c>
      <c r="Z111" s="1">
        <v>95</v>
      </c>
      <c r="AA111" s="1">
        <v>240</v>
      </c>
      <c r="AB111" s="1">
        <v>55</v>
      </c>
      <c r="AC111" s="1">
        <v>413</v>
      </c>
      <c r="AD111" s="1">
        <v>455</v>
      </c>
      <c r="AE111" s="1">
        <v>52</v>
      </c>
      <c r="AF111" s="1">
        <v>3200</v>
      </c>
      <c r="AG111" s="1">
        <v>3600</v>
      </c>
      <c r="AH111" s="1">
        <v>13.5</v>
      </c>
      <c r="AI111" s="1" t="s">
        <v>995</v>
      </c>
      <c r="AJ111" s="1"/>
      <c r="AK111" s="1"/>
      <c r="AL111" s="1" t="s">
        <v>704</v>
      </c>
      <c r="AM111" s="1">
        <v>186</v>
      </c>
      <c r="AN111" s="1">
        <v>133.5</v>
      </c>
      <c r="AO111" s="1">
        <v>4</v>
      </c>
      <c r="AP111" s="1">
        <v>4</v>
      </c>
      <c r="AQ111" s="1">
        <v>5</v>
      </c>
      <c r="AR111" s="1">
        <v>114</v>
      </c>
      <c r="AS111" s="1">
        <v>130</v>
      </c>
      <c r="AT111" s="1">
        <v>136</v>
      </c>
      <c r="AU111" s="1">
        <v>220</v>
      </c>
      <c r="AV111" s="1">
        <v>3</v>
      </c>
      <c r="AW111" s="1">
        <v>3</v>
      </c>
      <c r="AX111" s="1">
        <v>0.15</v>
      </c>
    </row>
    <row r="112" spans="2:50">
      <c r="B112" t="str">
        <f t="shared" si="1"/>
        <v>ID/OD(mm): 55/90, C/C0(kN): 20.3/14</v>
      </c>
      <c r="C112" s="101">
        <v>55</v>
      </c>
      <c r="D112" s="101">
        <v>90</v>
      </c>
      <c r="E112" s="101">
        <v>11</v>
      </c>
      <c r="F112" s="93">
        <v>20.3</v>
      </c>
      <c r="G112" s="101">
        <v>14</v>
      </c>
      <c r="H112" s="101">
        <v>0.69499999999999995</v>
      </c>
      <c r="I112" s="101">
        <v>16000</v>
      </c>
      <c r="J112" s="101">
        <v>10000</v>
      </c>
      <c r="K112" s="1">
        <v>0.27</v>
      </c>
      <c r="L112" s="1" t="s">
        <v>996</v>
      </c>
      <c r="N112" s="1">
        <v>63.2</v>
      </c>
      <c r="O112" s="1">
        <v>71.8</v>
      </c>
      <c r="P112" s="1" t="s">
        <v>704</v>
      </c>
      <c r="Q112" s="1">
        <v>1</v>
      </c>
      <c r="R112" s="1">
        <v>59.6</v>
      </c>
      <c r="S112" s="1">
        <v>75.400000000000006</v>
      </c>
      <c r="T112" s="1">
        <v>1</v>
      </c>
      <c r="U112" s="1">
        <v>0.02</v>
      </c>
      <c r="V112" s="1">
        <v>16</v>
      </c>
      <c r="Y112" t="s">
        <v>997</v>
      </c>
      <c r="Z112" s="1">
        <v>100</v>
      </c>
      <c r="AA112" s="1">
        <v>150</v>
      </c>
      <c r="AB112" s="1">
        <v>24</v>
      </c>
      <c r="AC112" s="1">
        <v>85.8</v>
      </c>
      <c r="AD112" s="1">
        <v>114</v>
      </c>
      <c r="AE112" s="1">
        <v>13.7</v>
      </c>
      <c r="AF112" s="1">
        <v>5000</v>
      </c>
      <c r="AG112" s="1">
        <v>7500</v>
      </c>
      <c r="AH112" s="1">
        <v>1.45</v>
      </c>
      <c r="AI112" s="1" t="s">
        <v>998</v>
      </c>
      <c r="AJ112" s="1"/>
      <c r="AK112" s="1">
        <v>100</v>
      </c>
      <c r="AL112" s="1" t="s">
        <v>704</v>
      </c>
      <c r="AM112" s="1">
        <v>132</v>
      </c>
      <c r="AN112" s="1">
        <v>113</v>
      </c>
      <c r="AO112" s="1">
        <v>1.5</v>
      </c>
      <c r="AP112" s="1">
        <v>1.1000000000000001</v>
      </c>
      <c r="AQ112" s="1">
        <v>3.5</v>
      </c>
      <c r="AR112" s="1">
        <v>106</v>
      </c>
      <c r="AS112" s="1">
        <v>111</v>
      </c>
      <c r="AT112" s="1">
        <v>116</v>
      </c>
      <c r="AU112" s="1">
        <v>143</v>
      </c>
      <c r="AV112" s="1">
        <v>1.5</v>
      </c>
      <c r="AW112" s="1">
        <v>1</v>
      </c>
      <c r="AX112" s="1">
        <v>0.15</v>
      </c>
    </row>
    <row r="113" spans="2:58">
      <c r="B113" t="str">
        <f t="shared" si="1"/>
        <v>ID/OD(mm): 30/62, C/C0(kN): 20.3/11.2</v>
      </c>
      <c r="C113" s="101">
        <v>30</v>
      </c>
      <c r="D113" s="101">
        <v>62</v>
      </c>
      <c r="E113" s="101">
        <v>16</v>
      </c>
      <c r="F113" s="93">
        <v>20.3</v>
      </c>
      <c r="G113" s="101">
        <v>11.2</v>
      </c>
      <c r="H113" s="101">
        <v>0.47499999999999998</v>
      </c>
      <c r="I113" s="101">
        <v>24000</v>
      </c>
      <c r="J113" s="101">
        <v>15000</v>
      </c>
      <c r="K113" s="1">
        <v>0.2</v>
      </c>
      <c r="L113" s="1" t="s">
        <v>999</v>
      </c>
      <c r="N113" s="1">
        <v>38.200000000000003</v>
      </c>
      <c r="O113" s="1">
        <v>46.8</v>
      </c>
      <c r="P113" s="1">
        <v>49</v>
      </c>
      <c r="Q113" s="1">
        <v>1</v>
      </c>
      <c r="R113" s="1">
        <v>34.6</v>
      </c>
      <c r="S113" s="1">
        <v>50.4</v>
      </c>
      <c r="T113" s="1">
        <v>1</v>
      </c>
      <c r="U113" s="1">
        <v>2.5000000000000001E-2</v>
      </c>
      <c r="V113" s="1">
        <v>15</v>
      </c>
      <c r="Y113" t="s">
        <v>1000</v>
      </c>
      <c r="Z113" s="1">
        <v>100</v>
      </c>
      <c r="AA113" s="1">
        <v>180</v>
      </c>
      <c r="AB113" s="1">
        <v>34</v>
      </c>
      <c r="AC113" s="1">
        <v>285</v>
      </c>
      <c r="AD113" s="1">
        <v>305</v>
      </c>
      <c r="AE113" s="1">
        <v>36.5</v>
      </c>
      <c r="AF113" s="1">
        <v>4000</v>
      </c>
      <c r="AG113" s="1">
        <v>4500</v>
      </c>
      <c r="AH113" s="1">
        <v>3.4</v>
      </c>
      <c r="AI113" s="1" t="s">
        <v>1001</v>
      </c>
      <c r="AJ113" s="1"/>
      <c r="AK113" s="1"/>
      <c r="AL113" s="1">
        <v>127</v>
      </c>
      <c r="AM113" s="1">
        <v>157</v>
      </c>
      <c r="AN113" s="1">
        <v>119</v>
      </c>
      <c r="AO113" s="1">
        <v>2.1</v>
      </c>
      <c r="AP113" s="1">
        <v>2.1</v>
      </c>
      <c r="AQ113" s="1">
        <v>1.7</v>
      </c>
      <c r="AR113" s="1">
        <v>113</v>
      </c>
      <c r="AS113" s="1">
        <v>116</v>
      </c>
      <c r="AT113" s="1">
        <v>122</v>
      </c>
      <c r="AU113" s="1">
        <v>167</v>
      </c>
      <c r="AV113" s="1">
        <v>2</v>
      </c>
      <c r="AW113" s="1">
        <v>2</v>
      </c>
      <c r="AX113" s="1">
        <v>0.15</v>
      </c>
    </row>
    <row r="114" spans="2:58">
      <c r="B114" t="str">
        <f t="shared" si="1"/>
        <v>ID/OD(mm): 60/95, C/C0(kN): 20.8/15</v>
      </c>
      <c r="C114" s="101">
        <v>60</v>
      </c>
      <c r="D114" s="101">
        <v>95</v>
      </c>
      <c r="E114" s="101">
        <v>11</v>
      </c>
      <c r="F114" s="93">
        <v>20.8</v>
      </c>
      <c r="G114" s="101">
        <v>15</v>
      </c>
      <c r="H114" s="101">
        <v>0.73499999999999999</v>
      </c>
      <c r="I114" s="101">
        <v>15000</v>
      </c>
      <c r="J114" s="101">
        <v>9500</v>
      </c>
      <c r="K114" s="1">
        <v>0.28999999999999998</v>
      </c>
      <c r="L114" s="1" t="s">
        <v>1002</v>
      </c>
      <c r="N114" s="1">
        <v>68.2</v>
      </c>
      <c r="O114" s="1">
        <v>76.8</v>
      </c>
      <c r="P114" s="1" t="s">
        <v>704</v>
      </c>
      <c r="Q114" s="1">
        <v>1</v>
      </c>
      <c r="R114" s="1">
        <v>64.599999999999994</v>
      </c>
      <c r="S114" s="1">
        <v>80.400000000000006</v>
      </c>
      <c r="T114" s="1">
        <v>1</v>
      </c>
      <c r="U114" s="1">
        <v>0.02</v>
      </c>
      <c r="V114" s="1">
        <v>16</v>
      </c>
      <c r="Y114" t="s">
        <v>1003</v>
      </c>
      <c r="Z114" s="1">
        <v>100</v>
      </c>
      <c r="AA114" s="1">
        <v>180</v>
      </c>
      <c r="AB114" s="1">
        <v>46</v>
      </c>
      <c r="AC114" s="1">
        <v>380</v>
      </c>
      <c r="AD114" s="1">
        <v>450</v>
      </c>
      <c r="AE114" s="1">
        <v>54</v>
      </c>
      <c r="AF114" s="1">
        <v>4000</v>
      </c>
      <c r="AG114" s="1">
        <v>4500</v>
      </c>
      <c r="AH114" s="1">
        <v>4.75</v>
      </c>
      <c r="AI114" s="1" t="s">
        <v>1004</v>
      </c>
      <c r="AJ114" s="1"/>
      <c r="AK114" s="1"/>
      <c r="AL114" s="1">
        <v>127</v>
      </c>
      <c r="AM114" s="1">
        <v>157</v>
      </c>
      <c r="AN114" s="1">
        <v>119</v>
      </c>
      <c r="AO114" s="1">
        <v>2.1</v>
      </c>
      <c r="AP114" s="1">
        <v>2.1</v>
      </c>
      <c r="AQ114" s="1">
        <v>2.5</v>
      </c>
      <c r="AR114" s="1">
        <v>113</v>
      </c>
      <c r="AS114" s="1">
        <v>116</v>
      </c>
      <c r="AT114" s="1">
        <v>122</v>
      </c>
      <c r="AU114" s="1">
        <v>167</v>
      </c>
      <c r="AV114" s="1">
        <v>2</v>
      </c>
      <c r="AW114" s="1">
        <v>2</v>
      </c>
      <c r="AX114" s="1">
        <v>0.2</v>
      </c>
    </row>
    <row r="115" spans="2:58">
      <c r="B115" t="str">
        <f t="shared" si="1"/>
        <v>ID/OD(mm): 105/130, C/C0(kN): 20.8/19.6</v>
      </c>
      <c r="C115" s="101">
        <v>105</v>
      </c>
      <c r="D115" s="101">
        <v>130</v>
      </c>
      <c r="E115" s="101">
        <v>13</v>
      </c>
      <c r="F115" s="93">
        <v>20.8</v>
      </c>
      <c r="G115" s="101">
        <v>19.600000000000001</v>
      </c>
      <c r="H115" s="101">
        <v>1</v>
      </c>
      <c r="I115" s="101">
        <v>10000</v>
      </c>
      <c r="J115" s="101">
        <v>6300</v>
      </c>
      <c r="K115" s="1">
        <v>0.32</v>
      </c>
      <c r="L115" s="1" t="s">
        <v>1005</v>
      </c>
      <c r="N115" s="1">
        <v>135</v>
      </c>
      <c r="O115" s="1">
        <v>180</v>
      </c>
      <c r="P115" s="1">
        <v>184</v>
      </c>
      <c r="Q115" s="1">
        <v>3</v>
      </c>
      <c r="R115" s="1">
        <v>114</v>
      </c>
      <c r="S115" s="1">
        <v>201</v>
      </c>
      <c r="T115" s="1">
        <v>2.5</v>
      </c>
      <c r="U115" s="1">
        <v>0.03</v>
      </c>
      <c r="V115" s="1">
        <v>13</v>
      </c>
      <c r="Y115" t="s">
        <v>1006</v>
      </c>
      <c r="Z115" s="1">
        <v>100</v>
      </c>
      <c r="AA115" s="1">
        <v>215</v>
      </c>
      <c r="AB115" s="1">
        <v>47</v>
      </c>
      <c r="AC115" s="1">
        <v>450</v>
      </c>
      <c r="AD115" s="1">
        <v>440</v>
      </c>
      <c r="AE115" s="1">
        <v>51</v>
      </c>
      <c r="AF115" s="1">
        <v>3200</v>
      </c>
      <c r="AG115" s="1">
        <v>3800</v>
      </c>
      <c r="AH115" s="1">
        <v>7.45</v>
      </c>
      <c r="AI115" s="1" t="s">
        <v>1007</v>
      </c>
      <c r="AJ115" s="1"/>
      <c r="AK115" s="1"/>
      <c r="AL115" s="1">
        <v>139</v>
      </c>
      <c r="AM115" s="1">
        <v>182</v>
      </c>
      <c r="AN115" s="1">
        <v>127.5</v>
      </c>
      <c r="AO115" s="1">
        <v>3</v>
      </c>
      <c r="AP115" s="1">
        <v>3</v>
      </c>
      <c r="AQ115" s="1">
        <v>2.9</v>
      </c>
      <c r="AR115" s="1">
        <v>114</v>
      </c>
      <c r="AS115" s="1">
        <v>124</v>
      </c>
      <c r="AT115" s="1">
        <v>131</v>
      </c>
      <c r="AU115" s="1">
        <v>199</v>
      </c>
      <c r="AV115" s="1">
        <v>2.5</v>
      </c>
      <c r="AW115" s="1">
        <v>2.5</v>
      </c>
      <c r="AX115" s="1">
        <v>0.15</v>
      </c>
    </row>
    <row r="116" spans="2:58">
      <c r="B116" t="str">
        <f t="shared" si="1"/>
        <v>ID/OD(mm): 45/75, C/C0(kN): 22.1/14.6</v>
      </c>
      <c r="C116" s="101">
        <v>45</v>
      </c>
      <c r="D116" s="101">
        <v>75</v>
      </c>
      <c r="E116" s="101">
        <v>16</v>
      </c>
      <c r="F116" s="93">
        <v>22.1</v>
      </c>
      <c r="G116" s="101">
        <v>14.6</v>
      </c>
      <c r="H116" s="101">
        <v>0.64</v>
      </c>
      <c r="I116" s="101">
        <v>20000</v>
      </c>
      <c r="J116" s="101">
        <v>12000</v>
      </c>
      <c r="K116" s="1">
        <v>0.24</v>
      </c>
      <c r="L116" s="1" t="s">
        <v>1008</v>
      </c>
      <c r="N116" s="1">
        <v>55</v>
      </c>
      <c r="O116" s="1">
        <v>65</v>
      </c>
      <c r="P116" s="1" t="s">
        <v>704</v>
      </c>
      <c r="Q116" s="1">
        <v>0.6</v>
      </c>
      <c r="R116" s="1">
        <v>48.2</v>
      </c>
      <c r="S116" s="1">
        <v>71.8</v>
      </c>
      <c r="T116" s="1">
        <v>0.6</v>
      </c>
      <c r="U116" s="1">
        <v>0.02</v>
      </c>
      <c r="V116" s="1">
        <v>14</v>
      </c>
      <c r="Y116" t="s">
        <v>1009</v>
      </c>
      <c r="Z116" s="1">
        <v>100</v>
      </c>
      <c r="AA116" s="1">
        <v>215</v>
      </c>
      <c r="AB116" s="1">
        <v>73</v>
      </c>
      <c r="AC116" s="1">
        <v>670</v>
      </c>
      <c r="AD116" s="1">
        <v>735</v>
      </c>
      <c r="AE116" s="1">
        <v>85</v>
      </c>
      <c r="AF116" s="1">
        <v>3200</v>
      </c>
      <c r="AG116" s="1">
        <v>3800</v>
      </c>
      <c r="AH116" s="1">
        <v>12</v>
      </c>
      <c r="AI116" s="1" t="s">
        <v>1010</v>
      </c>
      <c r="AJ116" s="1"/>
      <c r="AK116" s="1"/>
      <c r="AL116" s="1">
        <v>139</v>
      </c>
      <c r="AM116" s="1">
        <v>182</v>
      </c>
      <c r="AN116" s="1">
        <v>127.5</v>
      </c>
      <c r="AO116" s="1">
        <v>3</v>
      </c>
      <c r="AP116" s="1">
        <v>3</v>
      </c>
      <c r="AQ116" s="1">
        <v>5.9</v>
      </c>
      <c r="AR116" s="1">
        <v>114</v>
      </c>
      <c r="AS116" s="1">
        <v>124</v>
      </c>
      <c r="AT116" s="1">
        <v>131</v>
      </c>
      <c r="AU116" s="1">
        <v>199</v>
      </c>
      <c r="AV116" s="1">
        <v>2.5</v>
      </c>
      <c r="AW116" s="1">
        <v>2.5</v>
      </c>
      <c r="AX116" s="1">
        <v>0.25</v>
      </c>
    </row>
    <row r="117" spans="2:58">
      <c r="B117" t="str">
        <f t="shared" si="1"/>
        <v>ID/OD(mm): 65/100, C/C0(kN): 22.5/19.6</v>
      </c>
      <c r="C117" s="101">
        <v>65</v>
      </c>
      <c r="D117" s="101">
        <v>100</v>
      </c>
      <c r="E117" s="101">
        <v>11</v>
      </c>
      <c r="F117" s="93">
        <v>22.5</v>
      </c>
      <c r="G117" s="101">
        <v>19.600000000000001</v>
      </c>
      <c r="H117" s="101">
        <v>0.83</v>
      </c>
      <c r="I117" s="101">
        <v>14000</v>
      </c>
      <c r="J117" s="101">
        <v>9000</v>
      </c>
      <c r="K117" s="1">
        <v>0.3</v>
      </c>
      <c r="L117" s="1" t="s">
        <v>1011</v>
      </c>
      <c r="N117" s="1">
        <v>73.2</v>
      </c>
      <c r="O117" s="1">
        <v>81.8</v>
      </c>
      <c r="P117" s="1" t="s">
        <v>704</v>
      </c>
      <c r="Q117" s="1">
        <v>1</v>
      </c>
      <c r="R117" s="1">
        <v>69.599999999999994</v>
      </c>
      <c r="S117" s="1">
        <v>85.4</v>
      </c>
      <c r="T117" s="1">
        <v>1</v>
      </c>
      <c r="U117" s="1">
        <v>0.02</v>
      </c>
      <c r="V117" s="1">
        <v>17</v>
      </c>
      <c r="Y117" t="s">
        <v>1012</v>
      </c>
      <c r="Z117" s="1">
        <v>100</v>
      </c>
      <c r="AA117" s="1">
        <v>250</v>
      </c>
      <c r="AB117" s="1">
        <v>58</v>
      </c>
      <c r="AC117" s="1">
        <v>457</v>
      </c>
      <c r="AD117" s="1">
        <v>520</v>
      </c>
      <c r="AE117" s="1">
        <v>58.5</v>
      </c>
      <c r="AF117" s="1">
        <v>3000</v>
      </c>
      <c r="AG117" s="1">
        <v>3600</v>
      </c>
      <c r="AH117" s="1">
        <v>15.5</v>
      </c>
      <c r="AI117" s="1" t="s">
        <v>1013</v>
      </c>
      <c r="AJ117" s="1"/>
      <c r="AK117" s="1"/>
      <c r="AL117" s="1">
        <v>153</v>
      </c>
      <c r="AM117" s="1">
        <v>195</v>
      </c>
      <c r="AN117" s="1">
        <v>139</v>
      </c>
      <c r="AO117" s="1">
        <v>4</v>
      </c>
      <c r="AP117" s="1">
        <v>4</v>
      </c>
      <c r="AQ117" s="1">
        <v>4.9000000000000004</v>
      </c>
      <c r="AR117" s="1">
        <v>119</v>
      </c>
      <c r="AS117" s="1">
        <v>135</v>
      </c>
      <c r="AT117" s="1">
        <v>142</v>
      </c>
      <c r="AU117" s="1">
        <v>230</v>
      </c>
      <c r="AV117" s="1">
        <v>3</v>
      </c>
      <c r="AW117" s="1">
        <v>3</v>
      </c>
      <c r="AX117" s="1">
        <v>0.15</v>
      </c>
    </row>
    <row r="118" spans="2:58">
      <c r="B118" t="str">
        <f t="shared" si="1"/>
        <v>ID/OD(mm): 50/80, C/C0(kN): 22.9/16</v>
      </c>
      <c r="C118" s="101">
        <v>50</v>
      </c>
      <c r="D118" s="101">
        <v>80</v>
      </c>
      <c r="E118" s="101">
        <v>16</v>
      </c>
      <c r="F118" s="93">
        <v>22.9</v>
      </c>
      <c r="G118" s="101">
        <v>16</v>
      </c>
      <c r="H118" s="101">
        <v>0.71</v>
      </c>
      <c r="I118" s="101">
        <v>18000</v>
      </c>
      <c r="J118" s="101">
        <v>11000</v>
      </c>
      <c r="K118" s="1">
        <v>0.26</v>
      </c>
      <c r="L118" s="1" t="s">
        <v>1014</v>
      </c>
      <c r="N118" s="1">
        <v>60</v>
      </c>
      <c r="O118" s="1">
        <v>70</v>
      </c>
      <c r="P118" s="1" t="s">
        <v>704</v>
      </c>
      <c r="Q118" s="1">
        <v>0.6</v>
      </c>
      <c r="R118" s="1">
        <v>53.2</v>
      </c>
      <c r="S118" s="1">
        <v>76.8</v>
      </c>
      <c r="T118" s="1">
        <v>0.6</v>
      </c>
      <c r="U118" s="1">
        <v>0.02</v>
      </c>
      <c r="V118" s="1">
        <v>14</v>
      </c>
    </row>
    <row r="119" spans="2:58">
      <c r="B119" t="str">
        <f t="shared" si="1"/>
        <v>ID/OD(mm): 17/62, C/C0(kN): 22.9/10.8</v>
      </c>
      <c r="C119" s="101">
        <v>17</v>
      </c>
      <c r="D119" s="101">
        <v>62</v>
      </c>
      <c r="E119" s="101">
        <v>17</v>
      </c>
      <c r="F119" s="93">
        <v>22.9</v>
      </c>
      <c r="G119" s="101">
        <v>10.8</v>
      </c>
      <c r="H119" s="101">
        <v>0.45500000000000002</v>
      </c>
      <c r="I119" s="101">
        <v>28000</v>
      </c>
      <c r="J119" s="101">
        <v>18000</v>
      </c>
      <c r="K119" s="1">
        <v>0.27</v>
      </c>
      <c r="L119" s="1" t="s">
        <v>1015</v>
      </c>
      <c r="N119" s="1">
        <v>26.5</v>
      </c>
      <c r="O119" s="1">
        <v>37.4</v>
      </c>
      <c r="P119" s="1">
        <v>39.6</v>
      </c>
      <c r="Q119" s="1">
        <v>1</v>
      </c>
      <c r="R119" s="1">
        <v>22.6</v>
      </c>
      <c r="S119" s="1">
        <v>41.4</v>
      </c>
      <c r="T119" s="1">
        <v>1</v>
      </c>
      <c r="U119" s="1">
        <v>0.03</v>
      </c>
      <c r="V119" s="1">
        <v>12</v>
      </c>
      <c r="BE119" s="1"/>
      <c r="BF119" s="1"/>
    </row>
    <row r="120" spans="2:58">
      <c r="B120" t="str">
        <f t="shared" si="1"/>
        <v>ID/OD(mm): 30/62, C/C0(kN): 23.4/12.9</v>
      </c>
      <c r="C120" s="101">
        <v>30</v>
      </c>
      <c r="D120" s="101">
        <v>62</v>
      </c>
      <c r="E120" s="101">
        <v>16</v>
      </c>
      <c r="F120" s="93">
        <v>23.4</v>
      </c>
      <c r="G120" s="101">
        <v>12.9</v>
      </c>
      <c r="H120" s="101">
        <v>0.54</v>
      </c>
      <c r="I120" s="101">
        <v>24000</v>
      </c>
      <c r="J120" s="101">
        <v>15000</v>
      </c>
      <c r="K120" s="1">
        <v>0.18</v>
      </c>
      <c r="L120" s="1" t="s">
        <v>1016</v>
      </c>
      <c r="N120" s="1">
        <v>40.299999999999997</v>
      </c>
      <c r="O120" s="1">
        <v>51.6</v>
      </c>
      <c r="P120" s="1">
        <v>54.1</v>
      </c>
      <c r="Q120" s="1">
        <v>1</v>
      </c>
      <c r="R120" s="1">
        <v>35.6</v>
      </c>
      <c r="S120" s="1">
        <v>56.4</v>
      </c>
      <c r="T120" s="1">
        <v>1</v>
      </c>
      <c r="U120" s="1">
        <v>2.5000000000000001E-2</v>
      </c>
      <c r="V120" s="1">
        <v>14</v>
      </c>
      <c r="BE120" s="1"/>
      <c r="BF120" s="1"/>
    </row>
    <row r="121" spans="2:58">
      <c r="B121" t="str">
        <f t="shared" si="1"/>
        <v>ID/OD(mm): 25/62, C/C0(kN): 23.4/11.6</v>
      </c>
      <c r="C121" s="101">
        <v>25</v>
      </c>
      <c r="D121" s="101">
        <v>62</v>
      </c>
      <c r="E121" s="101">
        <v>17</v>
      </c>
      <c r="F121" s="93">
        <v>23.4</v>
      </c>
      <c r="G121" s="101">
        <v>11.6</v>
      </c>
      <c r="H121" s="101">
        <v>0.49</v>
      </c>
      <c r="I121" s="101">
        <v>24000</v>
      </c>
      <c r="J121" s="101">
        <v>16000</v>
      </c>
      <c r="K121" s="1">
        <v>0.23</v>
      </c>
      <c r="L121" s="1" t="s">
        <v>1017</v>
      </c>
      <c r="N121" s="1">
        <v>33.1</v>
      </c>
      <c r="O121" s="1">
        <v>44.5</v>
      </c>
      <c r="P121" s="1" t="s">
        <v>704</v>
      </c>
      <c r="Q121" s="1">
        <v>1</v>
      </c>
      <c r="R121" s="1">
        <v>30.6</v>
      </c>
      <c r="S121" s="1">
        <v>46.4</v>
      </c>
      <c r="T121" s="1">
        <v>1</v>
      </c>
      <c r="U121" s="1">
        <v>2.5000000000000001E-2</v>
      </c>
      <c r="V121" s="1">
        <v>13</v>
      </c>
      <c r="BE121" s="1"/>
      <c r="BF121" s="1"/>
    </row>
    <row r="122" spans="2:58">
      <c r="B122" t="str">
        <f t="shared" si="1"/>
        <v>ID/OD(mm): 70/100, C/C0(kN): 23.8/21.2</v>
      </c>
      <c r="C122" s="101">
        <v>70</v>
      </c>
      <c r="D122" s="101">
        <v>100</v>
      </c>
      <c r="E122" s="101">
        <v>16</v>
      </c>
      <c r="F122" s="93">
        <v>23.8</v>
      </c>
      <c r="G122" s="101">
        <v>21.2</v>
      </c>
      <c r="H122" s="101">
        <v>0.9</v>
      </c>
      <c r="I122" s="101">
        <v>14000</v>
      </c>
      <c r="J122" s="101">
        <v>8500</v>
      </c>
      <c r="K122" s="1">
        <v>0.35</v>
      </c>
      <c r="L122" s="1" t="s">
        <v>1018</v>
      </c>
      <c r="M122" s="1">
        <v>70</v>
      </c>
      <c r="N122" s="1">
        <v>76.599999999999994</v>
      </c>
      <c r="O122" s="1">
        <v>83.4</v>
      </c>
      <c r="P122" s="1" t="s">
        <v>704</v>
      </c>
      <c r="Q122" s="1">
        <v>0.6</v>
      </c>
      <c r="R122" s="1">
        <v>73.2</v>
      </c>
      <c r="S122" s="1">
        <v>86.8</v>
      </c>
      <c r="T122" s="1">
        <v>0.6</v>
      </c>
      <c r="U122" s="1">
        <v>1.4999999999999999E-2</v>
      </c>
      <c r="V122" s="1">
        <v>17</v>
      </c>
      <c r="BE122" s="1"/>
      <c r="BF122" s="1"/>
    </row>
    <row r="123" spans="2:58">
      <c r="B123" t="str">
        <f t="shared" si="1"/>
        <v>ID/OD(mm): 75/105, C/C0(kN): 24.2/22.4</v>
      </c>
      <c r="C123" s="101">
        <v>75</v>
      </c>
      <c r="D123" s="101">
        <v>105</v>
      </c>
      <c r="E123" s="101">
        <v>16</v>
      </c>
      <c r="F123" s="93">
        <v>24.2</v>
      </c>
      <c r="G123" s="101">
        <v>22.4</v>
      </c>
      <c r="H123" s="101">
        <v>0.96499999999999997</v>
      </c>
      <c r="I123" s="101">
        <v>13000</v>
      </c>
      <c r="J123" s="101">
        <v>8000</v>
      </c>
      <c r="K123" s="1">
        <v>0.37</v>
      </c>
      <c r="L123" s="1" t="s">
        <v>1019</v>
      </c>
      <c r="M123" s="1">
        <v>75</v>
      </c>
      <c r="N123" s="1">
        <v>81.599999999999994</v>
      </c>
      <c r="O123" s="1">
        <v>88.4</v>
      </c>
      <c r="P123" s="1" t="s">
        <v>704</v>
      </c>
      <c r="Q123" s="1">
        <v>0.6</v>
      </c>
      <c r="R123" s="1">
        <v>78.2</v>
      </c>
      <c r="S123" s="1">
        <v>91.8</v>
      </c>
      <c r="T123" s="1">
        <v>0.6</v>
      </c>
      <c r="U123" s="1">
        <v>1.4999999999999999E-2</v>
      </c>
      <c r="V123" s="1">
        <v>17</v>
      </c>
      <c r="BE123" s="1"/>
      <c r="BF123" s="1"/>
    </row>
    <row r="124" spans="2:58">
      <c r="B124" t="str">
        <f t="shared" si="1"/>
        <v>ID/OD(mm): 80/110, C/C0(kN): 25.1/20.4</v>
      </c>
      <c r="C124" s="101">
        <v>80</v>
      </c>
      <c r="D124" s="101">
        <v>110</v>
      </c>
      <c r="E124" s="101">
        <v>16</v>
      </c>
      <c r="F124" s="93">
        <v>25.1</v>
      </c>
      <c r="G124" s="101">
        <v>20.399999999999999</v>
      </c>
      <c r="H124" s="101">
        <v>1.02</v>
      </c>
      <c r="I124" s="101">
        <v>12000</v>
      </c>
      <c r="J124" s="101">
        <v>7500</v>
      </c>
      <c r="K124" s="1">
        <v>0.38</v>
      </c>
      <c r="L124" s="1" t="s">
        <v>1020</v>
      </c>
      <c r="M124" s="1">
        <v>80</v>
      </c>
      <c r="N124" s="1">
        <v>86.6</v>
      </c>
      <c r="O124" s="1">
        <v>93.4</v>
      </c>
      <c r="P124" s="1" t="s">
        <v>704</v>
      </c>
      <c r="Q124" s="1">
        <v>0.6</v>
      </c>
      <c r="R124" s="1">
        <v>83.2</v>
      </c>
      <c r="S124" s="1">
        <v>96.8</v>
      </c>
      <c r="T124" s="1">
        <v>0.6</v>
      </c>
      <c r="U124" s="1">
        <v>1.4999999999999999E-2</v>
      </c>
      <c r="V124" s="1">
        <v>17</v>
      </c>
      <c r="BE124" s="1"/>
      <c r="BF124" s="1"/>
    </row>
    <row r="125" spans="2:58">
      <c r="B125" t="str">
        <f t="shared" si="1"/>
        <v>ID/OD(mm): 28/68, C/C0(kN): 25.1/13.7</v>
      </c>
      <c r="C125" s="101">
        <v>28</v>
      </c>
      <c r="D125" s="101">
        <v>68</v>
      </c>
      <c r="E125" s="101">
        <v>18</v>
      </c>
      <c r="F125" s="93">
        <v>25.1</v>
      </c>
      <c r="G125" s="101">
        <v>13.7</v>
      </c>
      <c r="H125" s="101">
        <v>0.58499999999999996</v>
      </c>
      <c r="I125" s="101">
        <v>22000</v>
      </c>
      <c r="J125" s="101">
        <v>14000</v>
      </c>
      <c r="K125" s="1">
        <v>0.3</v>
      </c>
      <c r="L125" s="1" t="s">
        <v>1021</v>
      </c>
      <c r="M125" s="1">
        <v>28</v>
      </c>
      <c r="N125" s="1">
        <v>37</v>
      </c>
      <c r="O125" s="1">
        <v>49</v>
      </c>
      <c r="P125" s="1">
        <v>51.5</v>
      </c>
      <c r="Q125" s="1">
        <v>1</v>
      </c>
      <c r="R125" s="1">
        <v>33.6</v>
      </c>
      <c r="S125" s="1">
        <v>52.4</v>
      </c>
      <c r="T125" s="1">
        <v>1</v>
      </c>
      <c r="U125" s="1">
        <v>2.5000000000000001E-2</v>
      </c>
      <c r="V125" s="1">
        <v>14</v>
      </c>
      <c r="BE125" s="1"/>
      <c r="BF125" s="1"/>
    </row>
    <row r="126" spans="2:58">
      <c r="B126" t="str">
        <f t="shared" si="1"/>
        <v>ID/OD(mm): 25/62, C/C0(kN): 26/13.4</v>
      </c>
      <c r="C126" s="101">
        <v>25</v>
      </c>
      <c r="D126" s="101">
        <v>62</v>
      </c>
      <c r="E126" s="101">
        <v>17</v>
      </c>
      <c r="F126" s="93">
        <v>26</v>
      </c>
      <c r="G126" s="101">
        <v>13.4</v>
      </c>
      <c r="H126" s="101">
        <v>0.56999999999999995</v>
      </c>
      <c r="I126" s="101">
        <v>24000</v>
      </c>
      <c r="J126" s="101">
        <v>16000</v>
      </c>
      <c r="K126" s="1">
        <v>0.22</v>
      </c>
      <c r="L126" s="1" t="s">
        <v>1022</v>
      </c>
      <c r="N126" s="1">
        <v>36.6</v>
      </c>
      <c r="O126" s="1">
        <v>50.4</v>
      </c>
      <c r="P126" s="1">
        <v>52.7</v>
      </c>
      <c r="Q126" s="1">
        <v>1.1000000000000001</v>
      </c>
      <c r="R126" s="1">
        <v>32</v>
      </c>
      <c r="S126" s="1">
        <v>55</v>
      </c>
      <c r="T126" s="1">
        <v>1</v>
      </c>
      <c r="U126" s="1">
        <v>0.03</v>
      </c>
      <c r="V126" s="1">
        <v>12</v>
      </c>
      <c r="BE126" s="1"/>
      <c r="BF126" s="1"/>
    </row>
    <row r="127" spans="2:58">
      <c r="B127" t="str">
        <f t="shared" si="1"/>
        <v>ID/OD(mm): 35/72, C/C0(kN): 27/15.3</v>
      </c>
      <c r="C127" s="101">
        <v>35</v>
      </c>
      <c r="D127" s="101">
        <v>72</v>
      </c>
      <c r="E127" s="101">
        <v>17</v>
      </c>
      <c r="F127" s="93">
        <v>27</v>
      </c>
      <c r="G127" s="101">
        <v>15.3</v>
      </c>
      <c r="H127" s="101">
        <v>0.65500000000000003</v>
      </c>
      <c r="I127" s="101">
        <v>20000</v>
      </c>
      <c r="J127" s="101">
        <v>13000</v>
      </c>
      <c r="K127" s="1">
        <v>0.28999999999999998</v>
      </c>
      <c r="L127" s="1" t="s">
        <v>1023</v>
      </c>
      <c r="N127" s="1">
        <v>43.7</v>
      </c>
      <c r="O127" s="1">
        <v>53.3</v>
      </c>
      <c r="P127" s="1">
        <v>55.7</v>
      </c>
      <c r="Q127" s="1">
        <v>1</v>
      </c>
      <c r="R127" s="1">
        <v>39.6</v>
      </c>
      <c r="S127" s="1">
        <v>57.4</v>
      </c>
      <c r="T127" s="1">
        <v>1</v>
      </c>
      <c r="U127" s="1">
        <v>2.5000000000000001E-2</v>
      </c>
      <c r="V127" s="1">
        <v>15</v>
      </c>
      <c r="BE127" s="1"/>
      <c r="BF127" s="1"/>
    </row>
    <row r="128" spans="2:58">
      <c r="B128" t="str">
        <f t="shared" si="1"/>
        <v>ID/OD(mm): 110/140, C/C0(kN): 28.1/26</v>
      </c>
      <c r="C128" s="101">
        <v>110</v>
      </c>
      <c r="D128" s="101">
        <v>140</v>
      </c>
      <c r="E128" s="101">
        <v>16</v>
      </c>
      <c r="F128" s="93">
        <v>28.1</v>
      </c>
      <c r="G128" s="101">
        <v>26</v>
      </c>
      <c r="H128" s="101">
        <v>1.25</v>
      </c>
      <c r="I128" s="101">
        <v>9500</v>
      </c>
      <c r="J128" s="101">
        <v>5600</v>
      </c>
      <c r="K128" s="1">
        <v>0.49</v>
      </c>
      <c r="L128" s="1" t="s">
        <v>1024</v>
      </c>
      <c r="N128" s="1">
        <v>141</v>
      </c>
      <c r="O128" s="1">
        <v>188</v>
      </c>
      <c r="P128" s="1" t="s">
        <v>704</v>
      </c>
      <c r="Q128" s="1">
        <v>3</v>
      </c>
      <c r="R128" s="1">
        <v>119</v>
      </c>
      <c r="S128" s="1">
        <v>211</v>
      </c>
      <c r="T128" s="1">
        <v>2.5</v>
      </c>
      <c r="U128" s="1">
        <v>0.03</v>
      </c>
      <c r="V128" s="1">
        <v>13</v>
      </c>
      <c r="BE128" s="1"/>
      <c r="BF128" s="1"/>
    </row>
    <row r="129" spans="2:58">
      <c r="B129" t="str">
        <f t="shared" si="1"/>
        <v>ID/OD(mm): 70/110, C/C0(kN): 29.1/25</v>
      </c>
      <c r="C129" s="101">
        <v>70</v>
      </c>
      <c r="D129" s="101">
        <v>110</v>
      </c>
      <c r="E129" s="101">
        <v>13</v>
      </c>
      <c r="F129" s="93">
        <v>29.1</v>
      </c>
      <c r="G129" s="101">
        <v>25</v>
      </c>
      <c r="H129" s="101">
        <v>1.06</v>
      </c>
      <c r="I129" s="101">
        <v>13000</v>
      </c>
      <c r="J129" s="101">
        <v>8000</v>
      </c>
      <c r="K129" s="1">
        <v>0.44</v>
      </c>
      <c r="L129" s="1" t="s">
        <v>1025</v>
      </c>
      <c r="N129" s="1">
        <v>79.7</v>
      </c>
      <c r="O129" s="1">
        <v>90.3</v>
      </c>
      <c r="P129" s="1" t="s">
        <v>704</v>
      </c>
      <c r="Q129" s="1">
        <v>1</v>
      </c>
      <c r="R129" s="1">
        <v>74.599999999999994</v>
      </c>
      <c r="S129" s="1">
        <v>95.4</v>
      </c>
      <c r="T129" s="1">
        <v>1</v>
      </c>
      <c r="U129" s="1">
        <v>0.02</v>
      </c>
      <c r="V129" s="1">
        <v>16</v>
      </c>
      <c r="BE129" s="1"/>
      <c r="BF129" s="1"/>
    </row>
    <row r="130" spans="2:58">
      <c r="B130" t="str">
        <f t="shared" si="1"/>
        <v>ID/OD(mm): 120/150, C/C0(kN): 29.1/28</v>
      </c>
      <c r="C130" s="101">
        <v>120</v>
      </c>
      <c r="D130" s="101">
        <v>150</v>
      </c>
      <c r="E130" s="101">
        <v>16</v>
      </c>
      <c r="F130" s="93">
        <v>29.1</v>
      </c>
      <c r="G130" s="101">
        <v>28</v>
      </c>
      <c r="H130" s="101">
        <v>1.29</v>
      </c>
      <c r="I130" s="101">
        <v>8500</v>
      </c>
      <c r="J130" s="101">
        <v>5300</v>
      </c>
      <c r="K130" s="1">
        <v>0.54</v>
      </c>
      <c r="L130" s="1" t="s">
        <v>1026</v>
      </c>
      <c r="M130" s="1">
        <v>149</v>
      </c>
      <c r="O130" s="1">
        <v>200</v>
      </c>
      <c r="P130" s="1" t="s">
        <v>704</v>
      </c>
      <c r="Q130" s="1">
        <v>3</v>
      </c>
      <c r="R130" s="1">
        <v>124</v>
      </c>
      <c r="S130" s="1">
        <v>226</v>
      </c>
      <c r="T130" s="1">
        <v>2.5</v>
      </c>
      <c r="U130" s="1">
        <v>0.03</v>
      </c>
      <c r="V130" s="1">
        <v>13</v>
      </c>
      <c r="BE130" s="1"/>
      <c r="BF130" s="1"/>
    </row>
    <row r="131" spans="2:58">
      <c r="B131" t="str">
        <f t="shared" si="1"/>
        <v>ID/OD(mm): 55/90, C/C0(kN): 29.6/21.2</v>
      </c>
      <c r="C131" s="101">
        <v>55</v>
      </c>
      <c r="D131" s="101">
        <v>90</v>
      </c>
      <c r="E131" s="101">
        <v>18</v>
      </c>
      <c r="F131" s="93">
        <v>29.6</v>
      </c>
      <c r="G131" s="101">
        <v>21.2</v>
      </c>
      <c r="H131" s="101">
        <v>0.9</v>
      </c>
      <c r="I131" s="101">
        <v>16000</v>
      </c>
      <c r="J131" s="101">
        <v>10000</v>
      </c>
      <c r="K131" s="1">
        <v>0.39</v>
      </c>
      <c r="L131" s="1" t="s">
        <v>1027</v>
      </c>
      <c r="N131" s="1">
        <v>67</v>
      </c>
      <c r="O131" s="1">
        <v>78.099999999999994</v>
      </c>
      <c r="P131" s="1" t="s">
        <v>704</v>
      </c>
      <c r="Q131" s="1">
        <v>0.6</v>
      </c>
      <c r="R131" s="1">
        <v>58.2</v>
      </c>
      <c r="S131" s="1">
        <v>86.8</v>
      </c>
      <c r="T131" s="1">
        <v>0.6</v>
      </c>
      <c r="U131" s="1">
        <v>0.02</v>
      </c>
      <c r="V131" s="1">
        <v>14</v>
      </c>
      <c r="BE131" s="1"/>
      <c r="BF131" s="1"/>
    </row>
    <row r="132" spans="2:58">
      <c r="B132" t="str">
        <f t="shared" si="1"/>
        <v>ID/OD(mm): 30/72, C/C0(kN): 29.6/16</v>
      </c>
      <c r="C132" s="101">
        <v>30</v>
      </c>
      <c r="D132" s="101">
        <v>72</v>
      </c>
      <c r="E132" s="101">
        <v>19</v>
      </c>
      <c r="F132" s="93">
        <v>29.6</v>
      </c>
      <c r="G132" s="101">
        <v>16</v>
      </c>
      <c r="H132" s="101">
        <v>0.67</v>
      </c>
      <c r="I132" s="101">
        <v>20000</v>
      </c>
      <c r="J132" s="101">
        <v>13000</v>
      </c>
      <c r="K132" s="1">
        <v>0.35</v>
      </c>
      <c r="L132" s="1" t="s">
        <v>1028</v>
      </c>
      <c r="N132" s="1">
        <v>39.5</v>
      </c>
      <c r="O132" s="1">
        <v>52.9</v>
      </c>
      <c r="P132" s="1" t="s">
        <v>704</v>
      </c>
      <c r="Q132" s="1">
        <v>1</v>
      </c>
      <c r="R132" s="1">
        <v>35.6</v>
      </c>
      <c r="S132" s="1">
        <v>56.4</v>
      </c>
      <c r="T132" s="1">
        <v>1</v>
      </c>
      <c r="U132" s="1">
        <v>2.5000000000000001E-2</v>
      </c>
      <c r="V132" s="1">
        <v>13</v>
      </c>
      <c r="BE132" s="1"/>
      <c r="BF132" s="1"/>
    </row>
    <row r="133" spans="2:58">
      <c r="B133" t="str">
        <f t="shared" si="1"/>
        <v>ID/OD(mm): 75/115, C/C0(kN): 30.2/27</v>
      </c>
      <c r="C133" s="101">
        <v>75</v>
      </c>
      <c r="D133" s="101">
        <v>115</v>
      </c>
      <c r="E133" s="101">
        <v>13</v>
      </c>
      <c r="F133" s="93">
        <v>30.2</v>
      </c>
      <c r="G133" s="101">
        <v>27</v>
      </c>
      <c r="H133" s="101">
        <v>1.1399999999999999</v>
      </c>
      <c r="I133" s="101">
        <v>12000</v>
      </c>
      <c r="J133" s="101">
        <v>7500</v>
      </c>
      <c r="K133" s="1">
        <v>0.46</v>
      </c>
      <c r="L133" s="1" t="s">
        <v>1029</v>
      </c>
      <c r="N133" s="1">
        <v>84.7</v>
      </c>
      <c r="O133" s="1">
        <v>95.3</v>
      </c>
      <c r="P133" s="1" t="s">
        <v>704</v>
      </c>
      <c r="Q133" s="1">
        <v>1</v>
      </c>
      <c r="R133" s="1">
        <v>79.599999999999994</v>
      </c>
      <c r="S133" s="1">
        <v>100</v>
      </c>
      <c r="T133" s="1">
        <v>1</v>
      </c>
      <c r="U133" s="1">
        <v>0.02</v>
      </c>
      <c r="V133" s="1">
        <v>17</v>
      </c>
      <c r="BE133" s="1"/>
      <c r="BF133" s="1"/>
    </row>
    <row r="134" spans="2:58">
      <c r="B134" t="str">
        <f t="shared" si="1"/>
        <v>ID/OD(mm): 60/95, C/C0(kN): 30.7/23.2</v>
      </c>
      <c r="C134" s="101">
        <v>60</v>
      </c>
      <c r="D134" s="101">
        <v>95</v>
      </c>
      <c r="E134" s="101">
        <v>18</v>
      </c>
      <c r="F134" s="93">
        <v>30.7</v>
      </c>
      <c r="G134" s="101">
        <v>23.2</v>
      </c>
      <c r="H134" s="101">
        <v>0.98</v>
      </c>
      <c r="I134" s="101">
        <v>15000</v>
      </c>
      <c r="J134" s="101">
        <v>9500</v>
      </c>
      <c r="K134" s="1">
        <v>0.41</v>
      </c>
      <c r="L134" s="1" t="s">
        <v>1030</v>
      </c>
      <c r="N134" s="1">
        <v>72</v>
      </c>
      <c r="O134" s="1">
        <v>83</v>
      </c>
      <c r="P134" s="1" t="s">
        <v>704</v>
      </c>
      <c r="Q134" s="1">
        <v>0.6</v>
      </c>
      <c r="R134" s="1">
        <v>63.2</v>
      </c>
      <c r="S134" s="1">
        <v>91.8</v>
      </c>
      <c r="T134" s="1">
        <v>0.6</v>
      </c>
      <c r="U134" s="1">
        <v>0.02</v>
      </c>
      <c r="V134" s="1">
        <v>14</v>
      </c>
      <c r="BE134" s="1"/>
      <c r="BF134" s="1"/>
    </row>
    <row r="135" spans="2:58">
      <c r="B135" t="str">
        <f t="shared" si="1"/>
        <v>ID/OD(mm): 20/72, C/C0(kN): 30.7/15</v>
      </c>
      <c r="C135" s="101">
        <v>20</v>
      </c>
      <c r="D135" s="101">
        <v>72</v>
      </c>
      <c r="E135" s="101">
        <v>19</v>
      </c>
      <c r="F135" s="93">
        <v>30.7</v>
      </c>
      <c r="G135" s="101">
        <v>15</v>
      </c>
      <c r="H135" s="101">
        <v>0.64</v>
      </c>
      <c r="I135" s="101">
        <v>24000</v>
      </c>
      <c r="J135" s="101">
        <v>15000</v>
      </c>
      <c r="K135" s="1">
        <v>0.41</v>
      </c>
      <c r="L135" s="1" t="s">
        <v>1031</v>
      </c>
      <c r="N135" s="1">
        <v>30.3</v>
      </c>
      <c r="O135" s="1">
        <v>42.6</v>
      </c>
      <c r="P135" s="1" t="s">
        <v>704</v>
      </c>
      <c r="Q135" s="1">
        <v>1.1000000000000001</v>
      </c>
      <c r="R135" s="1">
        <v>27</v>
      </c>
      <c r="S135" s="1">
        <v>45</v>
      </c>
      <c r="T135" s="1">
        <v>1</v>
      </c>
      <c r="U135" s="1">
        <v>0.03</v>
      </c>
      <c r="V135" s="1">
        <v>12</v>
      </c>
      <c r="BE135" s="1"/>
      <c r="BF135" s="1"/>
    </row>
    <row r="136" spans="2:58">
      <c r="B136" t="str">
        <f t="shared" si="1"/>
        <v>ID/OD(mm): 35/72, C/C0(kN): 31.2/17.6</v>
      </c>
      <c r="C136" s="101">
        <v>35</v>
      </c>
      <c r="D136" s="101">
        <v>72</v>
      </c>
      <c r="E136" s="101">
        <v>17</v>
      </c>
      <c r="F136" s="93">
        <v>31.2</v>
      </c>
      <c r="G136" s="101">
        <v>17.600000000000001</v>
      </c>
      <c r="H136" s="101">
        <v>0.75</v>
      </c>
      <c r="I136" s="101">
        <v>20000</v>
      </c>
      <c r="J136" s="101">
        <v>13000</v>
      </c>
      <c r="K136" s="1">
        <v>0.26</v>
      </c>
      <c r="L136" s="1" t="s">
        <v>1032</v>
      </c>
      <c r="N136" s="1">
        <v>46.9</v>
      </c>
      <c r="O136" s="1">
        <v>60</v>
      </c>
      <c r="P136" s="1">
        <v>62.7</v>
      </c>
      <c r="Q136" s="1">
        <v>1.1000000000000001</v>
      </c>
      <c r="R136" s="1">
        <v>42</v>
      </c>
      <c r="S136" s="1">
        <v>65</v>
      </c>
      <c r="T136" s="1">
        <v>1</v>
      </c>
      <c r="U136" s="1">
        <v>2.5000000000000001E-2</v>
      </c>
      <c r="V136" s="1">
        <v>14</v>
      </c>
      <c r="BE136" s="1"/>
      <c r="BF136" s="1"/>
    </row>
    <row r="137" spans="2:58">
      <c r="B137" t="str">
        <f t="shared" si="1"/>
        <v>ID/OD(mm): 65/100, C/C0(kN): 31.9/25</v>
      </c>
      <c r="C137" s="101">
        <v>65</v>
      </c>
      <c r="D137" s="101">
        <v>100</v>
      </c>
      <c r="E137" s="101">
        <v>18</v>
      </c>
      <c r="F137" s="93">
        <v>31.9</v>
      </c>
      <c r="G137" s="101">
        <v>25</v>
      </c>
      <c r="H137" s="101">
        <v>1.06</v>
      </c>
      <c r="I137" s="101">
        <v>14000</v>
      </c>
      <c r="J137" s="101">
        <v>9000</v>
      </c>
      <c r="K137" s="1">
        <v>0.44</v>
      </c>
      <c r="L137" s="1" t="s">
        <v>1033</v>
      </c>
      <c r="N137" s="1">
        <v>76.5</v>
      </c>
      <c r="O137" s="1">
        <v>88.4</v>
      </c>
      <c r="P137" s="1" t="s">
        <v>704</v>
      </c>
      <c r="Q137" s="1">
        <v>0.6</v>
      </c>
      <c r="R137" s="1">
        <v>68.2</v>
      </c>
      <c r="S137" s="1">
        <v>96.8</v>
      </c>
      <c r="T137" s="1">
        <v>0.6</v>
      </c>
      <c r="U137" s="1">
        <v>0.02</v>
      </c>
      <c r="V137" s="1">
        <v>16</v>
      </c>
      <c r="BE137" s="1"/>
      <c r="BF137" s="1"/>
    </row>
    <row r="138" spans="2:58">
      <c r="B138" t="str">
        <f t="shared" si="1"/>
        <v>ID/OD(mm): 85/120, C/C0(kN): 31.9/30</v>
      </c>
      <c r="C138" s="101">
        <v>85</v>
      </c>
      <c r="D138" s="101">
        <v>120</v>
      </c>
      <c r="E138" s="101">
        <v>18</v>
      </c>
      <c r="F138" s="93">
        <v>31.9</v>
      </c>
      <c r="G138" s="101">
        <v>30</v>
      </c>
      <c r="H138" s="101">
        <v>1.25</v>
      </c>
      <c r="I138" s="101">
        <v>11000</v>
      </c>
      <c r="J138" s="101">
        <v>7000</v>
      </c>
      <c r="K138" s="1">
        <v>0.55000000000000004</v>
      </c>
      <c r="L138" s="1" t="s">
        <v>1034</v>
      </c>
      <c r="M138" s="1">
        <v>85</v>
      </c>
      <c r="N138" s="1">
        <v>93.2</v>
      </c>
      <c r="O138" s="1">
        <v>102</v>
      </c>
      <c r="P138" s="1" t="s">
        <v>704</v>
      </c>
      <c r="Q138" s="1">
        <v>1</v>
      </c>
      <c r="R138" s="1">
        <v>89.6</v>
      </c>
      <c r="S138" s="1">
        <v>105</v>
      </c>
      <c r="T138" s="1">
        <v>1</v>
      </c>
      <c r="U138" s="1">
        <v>1.4999999999999999E-2</v>
      </c>
      <c r="V138" s="1">
        <v>17</v>
      </c>
      <c r="BE138" s="1"/>
      <c r="BF138" s="1"/>
    </row>
    <row r="139" spans="2:58">
      <c r="B139" t="str">
        <f t="shared" si="1"/>
        <v>ID/OD(mm): 40/80, C/C0(kN): 32.5/19</v>
      </c>
      <c r="C139" s="101">
        <v>40</v>
      </c>
      <c r="D139" s="101">
        <v>80</v>
      </c>
      <c r="E139" s="101">
        <v>18</v>
      </c>
      <c r="F139" s="93">
        <v>32.5</v>
      </c>
      <c r="G139" s="101">
        <v>19</v>
      </c>
      <c r="H139" s="101">
        <v>0.8</v>
      </c>
      <c r="I139" s="101">
        <v>18000</v>
      </c>
      <c r="J139" s="101">
        <v>11000</v>
      </c>
      <c r="K139" s="1">
        <v>0.37</v>
      </c>
      <c r="L139" s="1" t="s">
        <v>1035</v>
      </c>
      <c r="N139" s="1">
        <v>49.2</v>
      </c>
      <c r="O139" s="1">
        <v>58.8</v>
      </c>
      <c r="P139" s="1">
        <v>61.1</v>
      </c>
      <c r="Q139" s="1">
        <v>1</v>
      </c>
      <c r="R139" s="1">
        <v>44.6</v>
      </c>
      <c r="S139" s="1">
        <v>63.4</v>
      </c>
      <c r="T139" s="1">
        <v>1</v>
      </c>
      <c r="U139" s="1">
        <v>2.5000000000000001E-2</v>
      </c>
      <c r="V139" s="1">
        <v>15</v>
      </c>
      <c r="BE139" s="1"/>
      <c r="BF139" s="1"/>
    </row>
    <row r="140" spans="2:58">
      <c r="B140" t="str">
        <f t="shared" si="1"/>
        <v>ID/OD(mm): 30/72, C/C0(kN): 32.5/17.3</v>
      </c>
      <c r="C140" s="101">
        <v>30</v>
      </c>
      <c r="D140" s="101">
        <v>72</v>
      </c>
      <c r="E140" s="101">
        <v>19</v>
      </c>
      <c r="F140" s="93">
        <v>32.5</v>
      </c>
      <c r="G140" s="101">
        <v>17.3</v>
      </c>
      <c r="H140" s="101">
        <v>0.73499999999999999</v>
      </c>
      <c r="I140" s="101">
        <v>22000</v>
      </c>
      <c r="J140" s="101">
        <v>14000</v>
      </c>
      <c r="K140" s="1">
        <v>0.33</v>
      </c>
      <c r="L140" s="1" t="s">
        <v>1036</v>
      </c>
      <c r="N140" s="1">
        <v>44.6</v>
      </c>
      <c r="O140" s="1">
        <v>59.1</v>
      </c>
      <c r="P140" s="1">
        <v>61.9</v>
      </c>
      <c r="Q140" s="1">
        <v>1.1000000000000001</v>
      </c>
      <c r="R140" s="1">
        <v>37</v>
      </c>
      <c r="S140" s="1">
        <v>65</v>
      </c>
      <c r="T140" s="1">
        <v>1</v>
      </c>
      <c r="U140" s="1">
        <v>0.03</v>
      </c>
      <c r="V140" s="1">
        <v>13</v>
      </c>
      <c r="BE140" s="1"/>
      <c r="BF140" s="1"/>
    </row>
    <row r="141" spans="2:58">
      <c r="B141" t="str">
        <f t="shared" si="1"/>
        <v>ID/OD(mm): 90/125, C/C0(kN): 33.2/31.5</v>
      </c>
      <c r="C141" s="101">
        <v>90</v>
      </c>
      <c r="D141" s="101">
        <v>125</v>
      </c>
      <c r="E141" s="101">
        <v>18</v>
      </c>
      <c r="F141" s="93">
        <v>33.200000000000003</v>
      </c>
      <c r="G141" s="101">
        <v>31.5</v>
      </c>
      <c r="H141" s="101">
        <v>1.29</v>
      </c>
      <c r="I141" s="101">
        <v>11000</v>
      </c>
      <c r="J141" s="101">
        <v>6700</v>
      </c>
      <c r="K141" s="1">
        <v>0.59</v>
      </c>
      <c r="L141" s="1" t="s">
        <v>1037</v>
      </c>
      <c r="M141" s="1">
        <v>90</v>
      </c>
      <c r="N141" s="1">
        <v>98.2</v>
      </c>
      <c r="O141" s="1">
        <v>107</v>
      </c>
      <c r="P141" s="1" t="s">
        <v>704</v>
      </c>
      <c r="Q141" s="1">
        <v>1</v>
      </c>
      <c r="R141" s="1">
        <v>94.6</v>
      </c>
      <c r="S141" s="1">
        <v>110</v>
      </c>
      <c r="T141" s="1">
        <v>1</v>
      </c>
      <c r="U141" s="1">
        <v>1.4999999999999999E-2</v>
      </c>
      <c r="V141" s="1">
        <v>17</v>
      </c>
      <c r="BE141" s="1"/>
      <c r="BF141" s="1"/>
    </row>
    <row r="142" spans="2:58">
      <c r="B142" t="str">
        <f t="shared" ref="B142:B205" si="2">CONCATENATE("ID/OD(mm): ",C142,"/",D142,", C/C0(kN): ",F142,"/",G142)</f>
        <v>ID/OD(mm): 95/130, C/C0(kN): 33.8/33.5</v>
      </c>
      <c r="C142" s="101">
        <v>95</v>
      </c>
      <c r="D142" s="101">
        <v>130</v>
      </c>
      <c r="E142" s="101">
        <v>18</v>
      </c>
      <c r="F142" s="93">
        <v>33.799999999999997</v>
      </c>
      <c r="G142" s="101">
        <v>33.5</v>
      </c>
      <c r="H142" s="101">
        <v>1.34</v>
      </c>
      <c r="I142" s="101">
        <v>10000</v>
      </c>
      <c r="J142" s="101">
        <v>6300</v>
      </c>
      <c r="K142" s="1">
        <v>0.61</v>
      </c>
      <c r="L142" s="1" t="s">
        <v>1038</v>
      </c>
      <c r="M142" s="1">
        <v>95</v>
      </c>
      <c r="N142" s="1">
        <v>103</v>
      </c>
      <c r="O142" s="1">
        <v>112</v>
      </c>
      <c r="P142" s="1" t="s">
        <v>704</v>
      </c>
      <c r="Q142" s="1">
        <v>1</v>
      </c>
      <c r="R142" s="1">
        <v>99.6</v>
      </c>
      <c r="S142" s="1">
        <v>115</v>
      </c>
      <c r="T142" s="1">
        <v>1</v>
      </c>
      <c r="U142" s="1">
        <v>1.4999999999999999E-2</v>
      </c>
      <c r="V142" s="1">
        <v>17</v>
      </c>
      <c r="BE142" s="1"/>
      <c r="BF142" s="1"/>
    </row>
    <row r="143" spans="2:58">
      <c r="B143" t="str">
        <f t="shared" si="2"/>
        <v>ID/OD(mm): 80/125, C/C0(kN): 35.1/31.5</v>
      </c>
      <c r="C143" s="101">
        <v>80</v>
      </c>
      <c r="D143" s="101">
        <v>125</v>
      </c>
      <c r="E143" s="101">
        <v>14</v>
      </c>
      <c r="F143" s="93">
        <v>35.1</v>
      </c>
      <c r="G143" s="101">
        <v>31.5</v>
      </c>
      <c r="H143" s="101">
        <v>1.32</v>
      </c>
      <c r="I143" s="101">
        <v>11000</v>
      </c>
      <c r="J143" s="101">
        <v>7000</v>
      </c>
      <c r="K143" s="1">
        <v>0.61</v>
      </c>
      <c r="L143" s="1" t="s">
        <v>1039</v>
      </c>
      <c r="N143" s="1">
        <v>89.8</v>
      </c>
      <c r="O143" s="1">
        <v>101</v>
      </c>
      <c r="P143" s="1">
        <v>103</v>
      </c>
      <c r="Q143" s="1">
        <v>1</v>
      </c>
      <c r="R143" s="1">
        <v>84.6</v>
      </c>
      <c r="S143" s="1">
        <v>105</v>
      </c>
      <c r="T143" s="1">
        <v>1</v>
      </c>
      <c r="U143" s="1">
        <v>0.02</v>
      </c>
      <c r="V143" s="1">
        <v>14</v>
      </c>
      <c r="BE143" s="1"/>
      <c r="BF143" s="1"/>
    </row>
    <row r="144" spans="2:58">
      <c r="B144" t="str">
        <f t="shared" si="2"/>
        <v>ID/OD(mm): 45/85, C/C0(kN): 35.1/21.6</v>
      </c>
      <c r="C144" s="101">
        <v>45</v>
      </c>
      <c r="D144" s="101">
        <v>85</v>
      </c>
      <c r="E144" s="101">
        <v>19</v>
      </c>
      <c r="F144" s="93">
        <v>35.1</v>
      </c>
      <c r="G144" s="101">
        <v>21.6</v>
      </c>
      <c r="H144" s="101">
        <v>0.91500000000000004</v>
      </c>
      <c r="I144" s="101">
        <v>17000</v>
      </c>
      <c r="J144" s="101">
        <v>11000</v>
      </c>
      <c r="K144" s="1">
        <v>0.42</v>
      </c>
      <c r="L144" s="1" t="s">
        <v>1040</v>
      </c>
      <c r="N144" s="1">
        <v>54.7</v>
      </c>
      <c r="O144" s="1">
        <v>65.3</v>
      </c>
      <c r="P144" s="1">
        <v>67.8</v>
      </c>
      <c r="Q144" s="1">
        <v>1</v>
      </c>
      <c r="R144" s="1">
        <v>50.8</v>
      </c>
      <c r="S144" s="1">
        <v>69.2</v>
      </c>
      <c r="T144" s="1">
        <v>1</v>
      </c>
      <c r="U144" s="1">
        <v>2.5000000000000001E-2</v>
      </c>
      <c r="V144" s="1">
        <v>15</v>
      </c>
      <c r="BE144" s="1"/>
      <c r="BF144" s="1"/>
    </row>
    <row r="145" spans="2:58">
      <c r="B145" t="str">
        <f t="shared" si="2"/>
        <v>ID/OD(mm): 35/80, C/C0(kN): 35.1/19</v>
      </c>
      <c r="C145" s="101">
        <v>35</v>
      </c>
      <c r="D145" s="101">
        <v>80</v>
      </c>
      <c r="E145" s="101">
        <v>21</v>
      </c>
      <c r="F145" s="93">
        <v>35.1</v>
      </c>
      <c r="G145" s="101">
        <v>19</v>
      </c>
      <c r="H145" s="101">
        <v>0.81499999999999995</v>
      </c>
      <c r="I145" s="101">
        <v>19000</v>
      </c>
      <c r="J145" s="101">
        <v>12000</v>
      </c>
      <c r="K145" s="1">
        <v>0.46</v>
      </c>
      <c r="L145" s="1" t="s">
        <v>1041</v>
      </c>
      <c r="N145" s="1">
        <v>46.1</v>
      </c>
      <c r="O145" s="1">
        <v>61.7</v>
      </c>
      <c r="P145" s="1" t="s">
        <v>704</v>
      </c>
      <c r="Q145" s="1">
        <v>1.1000000000000001</v>
      </c>
      <c r="R145" s="1">
        <v>42</v>
      </c>
      <c r="S145" s="1">
        <v>65</v>
      </c>
      <c r="T145" s="1">
        <v>1</v>
      </c>
      <c r="U145" s="1">
        <v>2.5000000000000001E-2</v>
      </c>
      <c r="V145" s="1">
        <v>13</v>
      </c>
      <c r="BE145" s="1"/>
      <c r="BF145" s="1"/>
    </row>
    <row r="146" spans="2:58">
      <c r="B146" t="str">
        <f t="shared" si="2"/>
        <v>ID/OD(mm): 85/130, C/C0(kN): 35.8/33.5</v>
      </c>
      <c r="C146" s="101">
        <v>85</v>
      </c>
      <c r="D146" s="101">
        <v>130</v>
      </c>
      <c r="E146" s="101">
        <v>14</v>
      </c>
      <c r="F146" s="93">
        <v>35.799999999999997</v>
      </c>
      <c r="G146" s="101">
        <v>33.5</v>
      </c>
      <c r="H146" s="101">
        <v>1.37</v>
      </c>
      <c r="I146" s="101">
        <v>11000</v>
      </c>
      <c r="J146" s="101">
        <v>6700</v>
      </c>
      <c r="K146" s="1">
        <v>0.64</v>
      </c>
      <c r="L146" s="1" t="s">
        <v>1042</v>
      </c>
      <c r="N146" s="1">
        <v>96.4</v>
      </c>
      <c r="O146" s="1">
        <v>109</v>
      </c>
      <c r="P146" s="1" t="s">
        <v>704</v>
      </c>
      <c r="Q146" s="1">
        <v>1.1000000000000001</v>
      </c>
      <c r="R146" s="1">
        <v>91</v>
      </c>
      <c r="S146" s="1">
        <v>114</v>
      </c>
      <c r="T146" s="1">
        <v>1</v>
      </c>
      <c r="U146" s="1">
        <v>0.02</v>
      </c>
      <c r="V146" s="1">
        <v>16</v>
      </c>
      <c r="BE146" s="1"/>
      <c r="BF146" s="1"/>
    </row>
    <row r="147" spans="2:58">
      <c r="B147" t="str">
        <f t="shared" si="2"/>
        <v>ID/OD(mm): 40/80, C/C0(kN): 35.8/20.8</v>
      </c>
      <c r="C147" s="101">
        <v>40</v>
      </c>
      <c r="D147" s="101">
        <v>80</v>
      </c>
      <c r="E147" s="101">
        <v>18</v>
      </c>
      <c r="F147" s="93">
        <v>35.799999999999997</v>
      </c>
      <c r="G147" s="101">
        <v>20.8</v>
      </c>
      <c r="H147" s="101">
        <v>0.88</v>
      </c>
      <c r="I147" s="101">
        <v>18000</v>
      </c>
      <c r="J147" s="101">
        <v>11000</v>
      </c>
      <c r="K147" s="1">
        <v>0.34</v>
      </c>
      <c r="L147" s="1" t="s">
        <v>1043</v>
      </c>
      <c r="N147" s="1">
        <v>52.6</v>
      </c>
      <c r="O147" s="1">
        <v>67.400000000000006</v>
      </c>
      <c r="P147" s="1">
        <v>69.8</v>
      </c>
      <c r="Q147" s="1">
        <v>1.1000000000000001</v>
      </c>
      <c r="R147" s="1">
        <v>47</v>
      </c>
      <c r="S147" s="1">
        <v>73</v>
      </c>
      <c r="T147" s="1">
        <v>1</v>
      </c>
      <c r="U147" s="1">
        <v>2.5000000000000001E-2</v>
      </c>
      <c r="V147" s="1">
        <v>14</v>
      </c>
      <c r="BE147" s="1"/>
      <c r="BF147" s="1"/>
    </row>
    <row r="148" spans="2:58">
      <c r="B148" t="str">
        <f t="shared" si="2"/>
        <v>ID/OD(mm): 25/80, C/C0(kN): 35.8/19.3</v>
      </c>
      <c r="C148" s="101">
        <v>25</v>
      </c>
      <c r="D148" s="101">
        <v>80</v>
      </c>
      <c r="E148" s="101">
        <v>21</v>
      </c>
      <c r="F148" s="93">
        <v>35.799999999999997</v>
      </c>
      <c r="G148" s="101">
        <v>19.3</v>
      </c>
      <c r="H148" s="101">
        <v>0.81499999999999995</v>
      </c>
      <c r="I148" s="101">
        <v>20000</v>
      </c>
      <c r="J148" s="101">
        <v>13000</v>
      </c>
      <c r="K148" s="1">
        <v>0.54</v>
      </c>
      <c r="L148" s="1" t="s">
        <v>1044</v>
      </c>
      <c r="N148" s="1">
        <v>36.299999999999997</v>
      </c>
      <c r="O148" s="1">
        <v>51.7</v>
      </c>
      <c r="P148" s="1" t="s">
        <v>704</v>
      </c>
      <c r="Q148" s="1">
        <v>1.1000000000000001</v>
      </c>
      <c r="R148" s="1">
        <v>32</v>
      </c>
      <c r="S148" s="1">
        <v>55</v>
      </c>
      <c r="T148" s="1">
        <v>1</v>
      </c>
      <c r="U148" s="1">
        <v>0.03</v>
      </c>
      <c r="V148" s="1">
        <v>12</v>
      </c>
      <c r="BE148" s="1"/>
      <c r="BF148" s="1"/>
    </row>
    <row r="149" spans="2:58">
      <c r="B149" t="str">
        <f t="shared" si="2"/>
        <v>ID/OD(mm): 50/90, C/C0(kN): 37.1/23.2</v>
      </c>
      <c r="C149" s="101">
        <v>50</v>
      </c>
      <c r="D149" s="101">
        <v>90</v>
      </c>
      <c r="E149" s="101">
        <v>20</v>
      </c>
      <c r="F149" s="93">
        <v>37.1</v>
      </c>
      <c r="G149" s="101">
        <v>23.2</v>
      </c>
      <c r="H149" s="101">
        <v>0.98</v>
      </c>
      <c r="I149" s="101">
        <v>15000</v>
      </c>
      <c r="J149" s="101">
        <v>10000</v>
      </c>
      <c r="K149" s="1">
        <v>0.45</v>
      </c>
      <c r="L149" s="1" t="s">
        <v>1045</v>
      </c>
      <c r="N149" s="1">
        <v>59.7</v>
      </c>
      <c r="O149" s="1">
        <v>70.3</v>
      </c>
      <c r="P149" s="1">
        <v>72.8</v>
      </c>
      <c r="Q149" s="1">
        <v>1</v>
      </c>
      <c r="R149" s="1">
        <v>54.6</v>
      </c>
      <c r="S149" s="1">
        <v>75.400000000000006</v>
      </c>
      <c r="T149" s="1">
        <v>1</v>
      </c>
      <c r="U149" s="1">
        <v>2.5000000000000001E-2</v>
      </c>
      <c r="V149" s="1">
        <v>15</v>
      </c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BE149" s="1"/>
      <c r="BF149" s="1"/>
    </row>
    <row r="150" spans="2:58">
      <c r="B150" t="str">
        <f t="shared" si="2"/>
        <v>ID/OD(mm): 130/165, C/C0(kN): 37.7/43</v>
      </c>
      <c r="C150" s="101">
        <v>130</v>
      </c>
      <c r="D150" s="101">
        <v>165</v>
      </c>
      <c r="E150" s="101">
        <v>18</v>
      </c>
      <c r="F150" s="93">
        <v>37.700000000000003</v>
      </c>
      <c r="G150" s="101">
        <v>43</v>
      </c>
      <c r="H150" s="101">
        <v>1.6</v>
      </c>
      <c r="I150" s="101">
        <v>8000</v>
      </c>
      <c r="J150" s="101">
        <v>4800</v>
      </c>
      <c r="K150" s="1">
        <v>0.77</v>
      </c>
      <c r="L150" s="1" t="s">
        <v>1046</v>
      </c>
      <c r="N150" s="1">
        <v>164</v>
      </c>
      <c r="O150" s="1">
        <v>215</v>
      </c>
      <c r="P150" s="1" t="s">
        <v>704</v>
      </c>
      <c r="Q150" s="1">
        <v>3</v>
      </c>
      <c r="R150" s="1">
        <v>134</v>
      </c>
      <c r="S150" s="1">
        <v>246</v>
      </c>
      <c r="T150" s="1">
        <v>2.5</v>
      </c>
      <c r="U150" s="1">
        <v>0.03</v>
      </c>
      <c r="V150" s="1">
        <v>14</v>
      </c>
      <c r="AY150" s="1"/>
      <c r="AZ150" s="1"/>
      <c r="BA150" s="1"/>
      <c r="BB150" s="1"/>
      <c r="BC150" s="1"/>
      <c r="BD150" s="1"/>
      <c r="BE150" s="1"/>
      <c r="BF150" s="1"/>
    </row>
    <row r="151" spans="2:58">
      <c r="B151" t="str">
        <f t="shared" si="2"/>
        <v>ID/OD(mm): 140/175, C/C0(kN): 39/46.5</v>
      </c>
      <c r="C151" s="101">
        <v>140</v>
      </c>
      <c r="D151" s="101">
        <v>175</v>
      </c>
      <c r="E151" s="101">
        <v>18</v>
      </c>
      <c r="F151" s="93">
        <v>39</v>
      </c>
      <c r="G151" s="101">
        <v>46.5</v>
      </c>
      <c r="H151" s="101">
        <v>1.66</v>
      </c>
      <c r="I151" s="101">
        <v>7500</v>
      </c>
      <c r="J151" s="101">
        <v>4500</v>
      </c>
      <c r="K151" s="1">
        <v>0.85</v>
      </c>
      <c r="L151" s="1" t="s">
        <v>1047</v>
      </c>
      <c r="N151" s="1">
        <v>177</v>
      </c>
      <c r="O151" s="1">
        <v>232</v>
      </c>
      <c r="P151" s="1" t="s">
        <v>704</v>
      </c>
      <c r="Q151" s="1">
        <v>4</v>
      </c>
      <c r="R151" s="1">
        <v>147</v>
      </c>
      <c r="S151" s="1">
        <v>263</v>
      </c>
      <c r="T151" s="1">
        <v>3</v>
      </c>
      <c r="U151" s="1">
        <v>0.03</v>
      </c>
      <c r="V151" s="1">
        <v>14</v>
      </c>
      <c r="BE151" s="1"/>
      <c r="BF151" s="1"/>
    </row>
    <row r="152" spans="2:58">
      <c r="B152" t="str">
        <f t="shared" si="2"/>
        <v>ID/OD(mm): 70/110, C/C0(kN): 39.7/31</v>
      </c>
      <c r="C152" s="101">
        <v>70</v>
      </c>
      <c r="D152" s="101">
        <v>110</v>
      </c>
      <c r="E152" s="101">
        <v>20</v>
      </c>
      <c r="F152" s="93">
        <v>39.700000000000003</v>
      </c>
      <c r="G152" s="101">
        <v>31</v>
      </c>
      <c r="H152" s="101">
        <v>1.32</v>
      </c>
      <c r="I152" s="101">
        <v>13000</v>
      </c>
      <c r="J152" s="101">
        <v>8000</v>
      </c>
      <c r="K152" s="1">
        <v>0.61</v>
      </c>
      <c r="L152" s="1" t="s">
        <v>1048</v>
      </c>
      <c r="N152" s="1">
        <v>83.3</v>
      </c>
      <c r="O152" s="1">
        <v>96.8</v>
      </c>
      <c r="P152" s="1" t="s">
        <v>704</v>
      </c>
      <c r="Q152" s="1">
        <v>0.6</v>
      </c>
      <c r="R152" s="1">
        <v>73.2</v>
      </c>
      <c r="S152" s="1">
        <v>106</v>
      </c>
      <c r="T152" s="1">
        <v>0.6</v>
      </c>
      <c r="U152" s="1">
        <v>0.02</v>
      </c>
      <c r="V152" s="1">
        <v>16</v>
      </c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BE152" s="1"/>
      <c r="BF152" s="1"/>
    </row>
    <row r="153" spans="2:58">
      <c r="B153" t="str">
        <f t="shared" si="2"/>
        <v>ID/OD(mm): 75/115, C/C0(kN): 41.6/33.5</v>
      </c>
      <c r="C153" s="101">
        <v>75</v>
      </c>
      <c r="D153" s="101">
        <v>115</v>
      </c>
      <c r="E153" s="101">
        <v>20</v>
      </c>
      <c r="F153" s="93">
        <v>41.6</v>
      </c>
      <c r="G153" s="101">
        <v>33.5</v>
      </c>
      <c r="H153" s="101">
        <v>1.43</v>
      </c>
      <c r="I153" s="101">
        <v>12000</v>
      </c>
      <c r="J153" s="101">
        <v>7500</v>
      </c>
      <c r="K153" s="1">
        <v>0.65</v>
      </c>
      <c r="L153" s="1" t="s">
        <v>1049</v>
      </c>
      <c r="N153" s="1">
        <v>88.3</v>
      </c>
      <c r="O153" s="1">
        <v>102</v>
      </c>
      <c r="P153" s="1" t="s">
        <v>704</v>
      </c>
      <c r="Q153" s="1">
        <v>0.6</v>
      </c>
      <c r="R153" s="1">
        <v>78.2</v>
      </c>
      <c r="S153" s="1">
        <v>111</v>
      </c>
      <c r="T153" s="1">
        <v>0.6</v>
      </c>
      <c r="U153" s="1">
        <v>0.02</v>
      </c>
      <c r="V153" s="1">
        <v>16</v>
      </c>
      <c r="AY153" s="1"/>
      <c r="AZ153" s="1"/>
      <c r="BA153" s="1"/>
      <c r="BB153" s="1"/>
      <c r="BC153" s="1"/>
      <c r="BD153" s="1"/>
      <c r="BE153" s="1"/>
      <c r="BF153" s="1"/>
    </row>
    <row r="154" spans="2:58">
      <c r="B154" t="str">
        <f t="shared" si="2"/>
        <v>ID/OD(mm): 100/140, C/C0(kN): 42.3/41.5</v>
      </c>
      <c r="C154" s="101">
        <v>100</v>
      </c>
      <c r="D154" s="101">
        <v>140</v>
      </c>
      <c r="E154" s="101">
        <v>20</v>
      </c>
      <c r="F154" s="93">
        <v>42.3</v>
      </c>
      <c r="G154" s="101">
        <v>41.5</v>
      </c>
      <c r="H154" s="101">
        <v>1.63</v>
      </c>
      <c r="I154" s="101">
        <v>9500</v>
      </c>
      <c r="J154" s="101">
        <v>6000</v>
      </c>
      <c r="K154" s="1">
        <v>0.83</v>
      </c>
      <c r="L154" s="1" t="s">
        <v>1050</v>
      </c>
      <c r="M154" s="1">
        <v>100</v>
      </c>
      <c r="N154" s="1">
        <v>108</v>
      </c>
      <c r="O154" s="1">
        <v>117</v>
      </c>
      <c r="P154" s="1" t="s">
        <v>704</v>
      </c>
      <c r="Q154" s="1">
        <v>1</v>
      </c>
      <c r="R154" s="1">
        <v>105</v>
      </c>
      <c r="S154" s="1">
        <v>120</v>
      </c>
      <c r="T154" s="1">
        <v>1</v>
      </c>
      <c r="U154" s="1">
        <v>1.4999999999999999E-2</v>
      </c>
      <c r="V154" s="1">
        <v>13</v>
      </c>
      <c r="BE154" s="1"/>
      <c r="BF154" s="1"/>
    </row>
    <row r="155" spans="2:58">
      <c r="B155" t="str">
        <f t="shared" si="2"/>
        <v>ID/OD(mm): 40/90, C/C0(kN): 42.3/24</v>
      </c>
      <c r="C155" s="101">
        <v>40</v>
      </c>
      <c r="D155" s="101">
        <v>90</v>
      </c>
      <c r="E155" s="101">
        <v>23</v>
      </c>
      <c r="F155" s="93">
        <v>42.3</v>
      </c>
      <c r="G155" s="101">
        <v>24</v>
      </c>
      <c r="H155" s="101">
        <v>1.02</v>
      </c>
      <c r="I155" s="101">
        <v>17000</v>
      </c>
      <c r="J155" s="101">
        <v>11000</v>
      </c>
      <c r="K155" s="1">
        <v>0.63</v>
      </c>
      <c r="L155" s="1" t="s">
        <v>1051</v>
      </c>
      <c r="N155" s="1">
        <v>52</v>
      </c>
      <c r="O155" s="1">
        <v>68.8</v>
      </c>
      <c r="P155" s="1" t="s">
        <v>704</v>
      </c>
      <c r="Q155" s="1">
        <v>1.1000000000000001</v>
      </c>
      <c r="R155" s="1">
        <v>47</v>
      </c>
      <c r="S155" s="1">
        <v>73</v>
      </c>
      <c r="T155" s="1">
        <v>1</v>
      </c>
      <c r="U155" s="1">
        <v>2.5000000000000001E-2</v>
      </c>
      <c r="V155" s="1">
        <v>13</v>
      </c>
      <c r="BE155" s="1"/>
      <c r="BF155" s="1"/>
    </row>
    <row r="156" spans="2:58">
      <c r="B156" t="str">
        <f t="shared" si="2"/>
        <v>ID/OD(mm): 90/140, C/C0(kN): 43.6/39</v>
      </c>
      <c r="C156" s="101">
        <v>90</v>
      </c>
      <c r="D156" s="101">
        <v>140</v>
      </c>
      <c r="E156" s="101">
        <v>16</v>
      </c>
      <c r="F156" s="93">
        <v>43.6</v>
      </c>
      <c r="G156" s="101">
        <v>39</v>
      </c>
      <c r="H156" s="101">
        <v>1.56</v>
      </c>
      <c r="I156" s="101">
        <v>10000</v>
      </c>
      <c r="J156" s="101">
        <v>6300</v>
      </c>
      <c r="K156" s="1">
        <v>0.85</v>
      </c>
      <c r="L156" s="1" t="s">
        <v>1052</v>
      </c>
      <c r="N156" s="1">
        <v>101</v>
      </c>
      <c r="O156" s="1">
        <v>114</v>
      </c>
      <c r="P156" s="1" t="s">
        <v>704</v>
      </c>
      <c r="Q156" s="1">
        <v>1.1000000000000001</v>
      </c>
      <c r="R156" s="1">
        <v>96</v>
      </c>
      <c r="S156" s="1">
        <v>119</v>
      </c>
      <c r="T156" s="1">
        <v>1</v>
      </c>
      <c r="U156" s="1">
        <v>0.02</v>
      </c>
      <c r="V156" s="1">
        <v>17</v>
      </c>
      <c r="BE156" s="1"/>
      <c r="BF156" s="1"/>
    </row>
    <row r="157" spans="2:58">
      <c r="B157" t="str">
        <f t="shared" si="2"/>
        <v>ID/OD(mm): 110/150, C/C0(kN): 43.6/45</v>
      </c>
      <c r="C157" s="101">
        <v>110</v>
      </c>
      <c r="D157" s="101">
        <v>150</v>
      </c>
      <c r="E157" s="101">
        <v>20</v>
      </c>
      <c r="F157" s="93">
        <v>43.6</v>
      </c>
      <c r="G157" s="101">
        <v>45</v>
      </c>
      <c r="H157" s="101">
        <v>1.66</v>
      </c>
      <c r="I157" s="101">
        <v>9000</v>
      </c>
      <c r="J157" s="101">
        <v>5600</v>
      </c>
      <c r="K157" s="1">
        <v>0.9</v>
      </c>
      <c r="L157" s="1" t="s">
        <v>1053</v>
      </c>
      <c r="M157" s="1">
        <v>110</v>
      </c>
      <c r="N157" s="1">
        <v>118</v>
      </c>
      <c r="O157" s="1">
        <v>132</v>
      </c>
      <c r="P157" s="1" t="s">
        <v>704</v>
      </c>
      <c r="Q157" s="1">
        <v>1</v>
      </c>
      <c r="R157" s="1">
        <v>115</v>
      </c>
      <c r="S157" s="1">
        <v>135</v>
      </c>
      <c r="T157" s="1">
        <v>1</v>
      </c>
      <c r="U157" s="1">
        <v>1.4999999999999999E-2</v>
      </c>
      <c r="V157" s="1">
        <v>14</v>
      </c>
      <c r="BE157" s="1"/>
      <c r="BF157" s="1"/>
    </row>
    <row r="158" spans="2:58">
      <c r="B158" t="str">
        <f t="shared" si="2"/>
        <v>ID/OD(mm): 30/90, C/C0(kN): 43.6/23.6</v>
      </c>
      <c r="C158" s="101">
        <v>30</v>
      </c>
      <c r="D158" s="101">
        <v>90</v>
      </c>
      <c r="E158" s="101">
        <v>23</v>
      </c>
      <c r="F158" s="93">
        <v>43.6</v>
      </c>
      <c r="G158" s="101">
        <v>23.6</v>
      </c>
      <c r="H158" s="101">
        <v>1</v>
      </c>
      <c r="I158" s="101">
        <v>18000</v>
      </c>
      <c r="J158" s="101">
        <v>11000</v>
      </c>
      <c r="K158" s="1">
        <v>0.75</v>
      </c>
      <c r="L158" s="1" t="s">
        <v>1054</v>
      </c>
      <c r="N158" s="1">
        <v>42.3</v>
      </c>
      <c r="O158" s="1">
        <v>59.6</v>
      </c>
      <c r="P158" s="1" t="s">
        <v>704</v>
      </c>
      <c r="Q158" s="1">
        <v>1.1000000000000001</v>
      </c>
      <c r="R158" s="1">
        <v>37</v>
      </c>
      <c r="S158" s="1">
        <v>65</v>
      </c>
      <c r="T158" s="1">
        <v>1</v>
      </c>
      <c r="U158" s="1">
        <v>0.03</v>
      </c>
      <c r="V158" s="1">
        <v>12</v>
      </c>
      <c r="BE158" s="1"/>
      <c r="BF158" s="1"/>
    </row>
    <row r="159" spans="2:58">
      <c r="B159" t="str">
        <f t="shared" si="2"/>
        <v>ID/OD(mm): 105/145, C/C0(kN): 44.2/44</v>
      </c>
      <c r="C159" s="101">
        <v>105</v>
      </c>
      <c r="D159" s="101">
        <v>145</v>
      </c>
      <c r="E159" s="101">
        <v>20</v>
      </c>
      <c r="F159" s="93">
        <v>44.2</v>
      </c>
      <c r="G159" s="101">
        <v>44</v>
      </c>
      <c r="H159" s="101">
        <v>1.7</v>
      </c>
      <c r="I159" s="101">
        <v>9500</v>
      </c>
      <c r="J159" s="101">
        <v>5600</v>
      </c>
      <c r="K159" s="1">
        <v>0.87</v>
      </c>
      <c r="L159" s="1" t="s">
        <v>1055</v>
      </c>
      <c r="M159" s="1">
        <v>105</v>
      </c>
      <c r="N159" s="1">
        <v>112</v>
      </c>
      <c r="O159" s="1">
        <v>123</v>
      </c>
      <c r="P159" s="1" t="s">
        <v>704</v>
      </c>
      <c r="Q159" s="1">
        <v>1</v>
      </c>
      <c r="R159" s="1">
        <v>110</v>
      </c>
      <c r="S159" s="1">
        <v>125</v>
      </c>
      <c r="T159" s="1">
        <v>1</v>
      </c>
      <c r="U159" s="1">
        <v>1.4999999999999999E-2</v>
      </c>
      <c r="V159" s="1">
        <v>13</v>
      </c>
      <c r="BE159" s="1"/>
      <c r="BF159" s="1"/>
    </row>
    <row r="160" spans="2:58">
      <c r="B160" t="str">
        <f t="shared" si="2"/>
        <v>ID/OD(mm): 95/145, C/C0(kN): 44.9/41.5</v>
      </c>
      <c r="C160" s="101">
        <v>95</v>
      </c>
      <c r="D160" s="101">
        <v>145</v>
      </c>
      <c r="E160" s="101">
        <v>16</v>
      </c>
      <c r="F160" s="93">
        <v>44.9</v>
      </c>
      <c r="G160" s="101">
        <v>41.5</v>
      </c>
      <c r="H160" s="101">
        <v>1.63</v>
      </c>
      <c r="I160" s="101">
        <v>9500</v>
      </c>
      <c r="J160" s="101">
        <v>6000</v>
      </c>
      <c r="K160" s="1">
        <v>0.89</v>
      </c>
      <c r="L160" s="1" t="s">
        <v>1056</v>
      </c>
      <c r="N160" s="1">
        <v>106</v>
      </c>
      <c r="O160" s="1">
        <v>119</v>
      </c>
      <c r="P160" s="1" t="s">
        <v>704</v>
      </c>
      <c r="Q160" s="1">
        <v>1.1000000000000001</v>
      </c>
      <c r="R160" s="1">
        <v>101</v>
      </c>
      <c r="S160" s="1">
        <v>124</v>
      </c>
      <c r="T160" s="1">
        <v>1</v>
      </c>
      <c r="U160" s="1">
        <v>0.02</v>
      </c>
      <c r="V160" s="1">
        <v>17</v>
      </c>
      <c r="BE160" s="1"/>
      <c r="BF160" s="1"/>
    </row>
    <row r="161" spans="2:58">
      <c r="B161" t="str">
        <f t="shared" si="2"/>
        <v>ID/OD(mm): 100/150, C/C0(kN): 46.2/44</v>
      </c>
      <c r="C161" s="101">
        <v>100</v>
      </c>
      <c r="D161" s="101">
        <v>150</v>
      </c>
      <c r="E161" s="101">
        <v>16</v>
      </c>
      <c r="F161" s="93">
        <v>46.2</v>
      </c>
      <c r="G161" s="101">
        <v>44</v>
      </c>
      <c r="H161" s="101">
        <v>1.7</v>
      </c>
      <c r="I161" s="101">
        <v>9500</v>
      </c>
      <c r="J161" s="101">
        <v>5600</v>
      </c>
      <c r="K161" s="1">
        <v>0.94</v>
      </c>
      <c r="L161" s="1" t="s">
        <v>1057</v>
      </c>
      <c r="N161" s="1">
        <v>112</v>
      </c>
      <c r="O161" s="1">
        <v>128</v>
      </c>
      <c r="P161" s="1" t="s">
        <v>704</v>
      </c>
      <c r="Q161" s="1">
        <v>1.1000000000000001</v>
      </c>
      <c r="R161" s="1">
        <v>106</v>
      </c>
      <c r="S161" s="1">
        <v>134</v>
      </c>
      <c r="T161" s="1">
        <v>1</v>
      </c>
      <c r="U161" s="1">
        <v>0.02</v>
      </c>
      <c r="V161" s="1">
        <v>16</v>
      </c>
      <c r="BE161" s="1"/>
      <c r="BF161" s="1"/>
    </row>
    <row r="162" spans="2:58">
      <c r="B162" t="str">
        <f t="shared" si="2"/>
        <v>ID/OD(mm): 55/100, C/C0(kN): 46.2/29</v>
      </c>
      <c r="C162" s="101">
        <v>55</v>
      </c>
      <c r="D162" s="101">
        <v>100</v>
      </c>
      <c r="E162" s="101">
        <v>21</v>
      </c>
      <c r="F162" s="93">
        <v>46.2</v>
      </c>
      <c r="G162" s="101">
        <v>29</v>
      </c>
      <c r="H162" s="101">
        <v>1.25</v>
      </c>
      <c r="I162" s="101">
        <v>14000</v>
      </c>
      <c r="J162" s="101">
        <v>9000</v>
      </c>
      <c r="K162" s="1">
        <v>0.61</v>
      </c>
      <c r="L162" s="1" t="s">
        <v>1058</v>
      </c>
      <c r="N162" s="1">
        <v>66.3</v>
      </c>
      <c r="O162" s="1">
        <v>78.7</v>
      </c>
      <c r="P162" s="1">
        <v>81.5</v>
      </c>
      <c r="Q162" s="1">
        <v>1.1000000000000001</v>
      </c>
      <c r="R162" s="1">
        <v>61</v>
      </c>
      <c r="S162" s="1">
        <v>84</v>
      </c>
      <c r="T162" s="1">
        <v>1</v>
      </c>
      <c r="U162" s="1">
        <v>2.5000000000000001E-2</v>
      </c>
      <c r="V162" s="1">
        <v>15</v>
      </c>
      <c r="BE162" s="1"/>
      <c r="BF162" s="1"/>
    </row>
    <row r="163" spans="2:58">
      <c r="B163" t="str">
        <f t="shared" si="2"/>
        <v>ID/OD(mm): 150/190, C/C0(kN): 48.8/61</v>
      </c>
      <c r="C163" s="101">
        <v>150</v>
      </c>
      <c r="D163" s="101">
        <v>190</v>
      </c>
      <c r="E163" s="101">
        <v>20</v>
      </c>
      <c r="F163" s="93">
        <v>48.8</v>
      </c>
      <c r="G163" s="101">
        <v>61</v>
      </c>
      <c r="H163" s="101">
        <v>1.96</v>
      </c>
      <c r="I163" s="101">
        <v>6700</v>
      </c>
      <c r="J163" s="101">
        <v>4300</v>
      </c>
      <c r="K163" s="1">
        <v>1.2</v>
      </c>
      <c r="L163" s="1" t="s">
        <v>1059</v>
      </c>
      <c r="N163" s="1">
        <v>190</v>
      </c>
      <c r="O163" s="1">
        <v>249</v>
      </c>
      <c r="P163" s="1" t="s">
        <v>704</v>
      </c>
      <c r="Q163" s="1">
        <v>4</v>
      </c>
      <c r="R163" s="1">
        <v>157</v>
      </c>
      <c r="S163" s="1">
        <v>283</v>
      </c>
      <c r="T163" s="1">
        <v>3</v>
      </c>
      <c r="U163" s="1">
        <v>0.03</v>
      </c>
      <c r="V163" s="1">
        <v>14</v>
      </c>
      <c r="BE163" s="1"/>
      <c r="BF163" s="1"/>
    </row>
    <row r="164" spans="2:58">
      <c r="B164" t="str">
        <f t="shared" si="2"/>
        <v>ID/OD(mm): 160/200, C/C0(kN): 49.4/64</v>
      </c>
      <c r="C164" s="101">
        <v>160</v>
      </c>
      <c r="D164" s="101">
        <v>200</v>
      </c>
      <c r="E164" s="101">
        <v>20</v>
      </c>
      <c r="F164" s="93">
        <v>49.4</v>
      </c>
      <c r="G164" s="101">
        <v>64</v>
      </c>
      <c r="H164" s="101">
        <v>2</v>
      </c>
      <c r="I164" s="101">
        <v>6300</v>
      </c>
      <c r="J164" s="101">
        <v>4000</v>
      </c>
      <c r="K164" s="1">
        <v>1.25</v>
      </c>
      <c r="L164" s="1" t="s">
        <v>1060</v>
      </c>
      <c r="N164" s="1">
        <v>205</v>
      </c>
      <c r="O164" s="1">
        <v>264</v>
      </c>
      <c r="P164" s="1" t="s">
        <v>704</v>
      </c>
      <c r="Q164" s="1">
        <v>4</v>
      </c>
      <c r="R164" s="1">
        <v>167</v>
      </c>
      <c r="S164" s="1">
        <v>303</v>
      </c>
      <c r="T164" s="1">
        <v>3</v>
      </c>
      <c r="U164" s="1">
        <v>0.03</v>
      </c>
      <c r="V164" s="1">
        <v>14</v>
      </c>
      <c r="BE164" s="1"/>
      <c r="BF164" s="1"/>
    </row>
    <row r="165" spans="2:58">
      <c r="B165" t="str">
        <f t="shared" si="2"/>
        <v>ID/OD(mm): 80/125, C/C0(kN): 49.4/40</v>
      </c>
      <c r="C165" s="101">
        <v>80</v>
      </c>
      <c r="D165" s="101">
        <v>125</v>
      </c>
      <c r="E165" s="101">
        <v>22</v>
      </c>
      <c r="F165" s="93">
        <v>49.4</v>
      </c>
      <c r="G165" s="101">
        <v>40</v>
      </c>
      <c r="H165" s="101">
        <v>1.66</v>
      </c>
      <c r="I165" s="101">
        <v>11000</v>
      </c>
      <c r="J165" s="101">
        <v>7000</v>
      </c>
      <c r="K165" s="1">
        <v>0.87</v>
      </c>
      <c r="L165" s="1" t="s">
        <v>1061</v>
      </c>
      <c r="N165" s="1">
        <v>95.3</v>
      </c>
      <c r="O165" s="1">
        <v>110</v>
      </c>
      <c r="P165" s="1" t="s">
        <v>704</v>
      </c>
      <c r="Q165" s="1">
        <v>0.6</v>
      </c>
      <c r="R165" s="1">
        <v>83.2</v>
      </c>
      <c r="S165" s="1">
        <v>121</v>
      </c>
      <c r="T165" s="1">
        <v>0.6</v>
      </c>
      <c r="U165" s="1">
        <v>0.02</v>
      </c>
      <c r="V165" s="1">
        <v>16</v>
      </c>
      <c r="BE165" s="1"/>
      <c r="BF165" s="1"/>
    </row>
    <row r="166" spans="2:58">
      <c r="B166" t="str">
        <f t="shared" si="2"/>
        <v>ID/OD(mm): 85/130, C/C0(kN): 52/43</v>
      </c>
      <c r="C166" s="101">
        <v>85</v>
      </c>
      <c r="D166" s="101">
        <v>130</v>
      </c>
      <c r="E166" s="101">
        <v>22</v>
      </c>
      <c r="F166" s="93">
        <v>52</v>
      </c>
      <c r="G166" s="101">
        <v>43</v>
      </c>
      <c r="H166" s="101">
        <v>1.76</v>
      </c>
      <c r="I166" s="101">
        <v>11000</v>
      </c>
      <c r="J166" s="101">
        <v>6700</v>
      </c>
      <c r="K166" s="1">
        <v>0.92</v>
      </c>
      <c r="L166" s="1" t="s">
        <v>1062</v>
      </c>
      <c r="N166" s="1">
        <v>100</v>
      </c>
      <c r="O166" s="1">
        <v>115</v>
      </c>
      <c r="P166" s="1" t="s">
        <v>704</v>
      </c>
      <c r="Q166" s="1">
        <v>0.6</v>
      </c>
      <c r="R166" s="1">
        <v>88.2</v>
      </c>
      <c r="S166" s="1">
        <v>126</v>
      </c>
      <c r="T166" s="1">
        <v>0.6</v>
      </c>
      <c r="U166" s="1">
        <v>0.02</v>
      </c>
      <c r="V166" s="1">
        <v>17</v>
      </c>
      <c r="BE166" s="1"/>
      <c r="BF166" s="1"/>
    </row>
    <row r="167" spans="2:58">
      <c r="B167" t="str">
        <f t="shared" si="2"/>
        <v>ID/OD(mm): 105/160, C/C0(kN): 54/51</v>
      </c>
      <c r="C167" s="101">
        <v>105</v>
      </c>
      <c r="D167" s="101">
        <v>160</v>
      </c>
      <c r="E167" s="101">
        <v>18</v>
      </c>
      <c r="F167" s="93">
        <v>54</v>
      </c>
      <c r="G167" s="101">
        <v>51</v>
      </c>
      <c r="H167" s="101">
        <v>1.86</v>
      </c>
      <c r="I167" s="101">
        <v>8500</v>
      </c>
      <c r="J167" s="101">
        <v>5300</v>
      </c>
      <c r="K167" s="1">
        <v>1.2</v>
      </c>
      <c r="L167" s="1" t="s">
        <v>1063</v>
      </c>
      <c r="N167" s="1">
        <v>117</v>
      </c>
      <c r="O167" s="1">
        <v>133</v>
      </c>
      <c r="P167" s="1" t="s">
        <v>704</v>
      </c>
      <c r="Q167" s="1">
        <v>1.1000000000000001</v>
      </c>
      <c r="R167" s="1">
        <v>111</v>
      </c>
      <c r="S167" s="1">
        <v>139</v>
      </c>
      <c r="T167" s="1">
        <v>1</v>
      </c>
      <c r="U167" s="1">
        <v>0.02</v>
      </c>
      <c r="V167" s="1">
        <v>17</v>
      </c>
      <c r="BE167" s="1"/>
      <c r="BF167" s="1"/>
    </row>
    <row r="168" spans="2:58">
      <c r="B168" t="str">
        <f t="shared" si="2"/>
        <v>ID/OD(mm): 60/110, C/C0(kN): 55.3/36</v>
      </c>
      <c r="C168" s="101">
        <v>60</v>
      </c>
      <c r="D168" s="101">
        <v>110</v>
      </c>
      <c r="E168" s="101">
        <v>22</v>
      </c>
      <c r="F168" s="93">
        <v>55.3</v>
      </c>
      <c r="G168" s="101">
        <v>36</v>
      </c>
      <c r="H168" s="101">
        <v>1.53</v>
      </c>
      <c r="I168" s="101">
        <v>13000</v>
      </c>
      <c r="J168" s="101">
        <v>8000</v>
      </c>
      <c r="K168" s="1">
        <v>0.78</v>
      </c>
      <c r="L168" s="1" t="s">
        <v>1064</v>
      </c>
      <c r="N168" s="1">
        <v>71.3</v>
      </c>
      <c r="O168" s="1">
        <v>83.7</v>
      </c>
      <c r="P168" s="1">
        <v>86.5</v>
      </c>
      <c r="Q168" s="1">
        <v>1.1000000000000001</v>
      </c>
      <c r="R168" s="1">
        <v>66</v>
      </c>
      <c r="S168" s="1">
        <v>89</v>
      </c>
      <c r="T168" s="1">
        <v>1</v>
      </c>
      <c r="U168" s="1">
        <v>2.5000000000000001E-2</v>
      </c>
      <c r="V168" s="1">
        <v>16</v>
      </c>
      <c r="BE168" s="1"/>
      <c r="BF168" s="1"/>
    </row>
    <row r="169" spans="2:58">
      <c r="B169" t="str">
        <f t="shared" si="2"/>
        <v>ID/OD(mm): 120/165, C/C0(kN): 55.3/57</v>
      </c>
      <c r="C169" s="101">
        <v>120</v>
      </c>
      <c r="D169" s="101">
        <v>165</v>
      </c>
      <c r="E169" s="101">
        <v>22</v>
      </c>
      <c r="F169" s="93">
        <v>55.3</v>
      </c>
      <c r="G169" s="101">
        <v>57</v>
      </c>
      <c r="H169" s="101">
        <v>2.04</v>
      </c>
      <c r="I169" s="101">
        <v>8000</v>
      </c>
      <c r="J169" s="101">
        <v>5000</v>
      </c>
      <c r="K169" s="1">
        <v>1.2</v>
      </c>
      <c r="L169" s="1" t="s">
        <v>1065</v>
      </c>
      <c r="M169" s="1">
        <v>120</v>
      </c>
      <c r="N169" s="1">
        <v>128</v>
      </c>
      <c r="O169" s="1">
        <v>142</v>
      </c>
      <c r="P169" s="1" t="s">
        <v>704</v>
      </c>
      <c r="Q169" s="1">
        <v>1</v>
      </c>
      <c r="R169" s="1">
        <v>125</v>
      </c>
      <c r="S169" s="1">
        <v>145</v>
      </c>
      <c r="T169" s="1">
        <v>1</v>
      </c>
      <c r="U169" s="1">
        <v>1.4999999999999999E-2</v>
      </c>
      <c r="V169" s="1">
        <v>14</v>
      </c>
      <c r="BE169" s="1"/>
      <c r="BF169" s="1"/>
    </row>
    <row r="170" spans="2:58">
      <c r="B170" t="str">
        <f t="shared" si="2"/>
        <v>ID/OD(mm): 35/100, C/C0(kN): 55.3/31</v>
      </c>
      <c r="C170" s="101">
        <v>35</v>
      </c>
      <c r="D170" s="101">
        <v>100</v>
      </c>
      <c r="E170" s="101">
        <v>25</v>
      </c>
      <c r="F170" s="93">
        <v>55.3</v>
      </c>
      <c r="G170" s="101">
        <v>31</v>
      </c>
      <c r="H170" s="101">
        <v>1.29</v>
      </c>
      <c r="I170" s="101">
        <v>16000</v>
      </c>
      <c r="J170" s="101">
        <v>10000</v>
      </c>
      <c r="K170" s="1">
        <v>0.97</v>
      </c>
      <c r="L170" s="1" t="s">
        <v>1066</v>
      </c>
      <c r="N170" s="1">
        <v>49.5</v>
      </c>
      <c r="O170" s="1">
        <v>65.400000000000006</v>
      </c>
      <c r="P170" s="1">
        <v>69.2</v>
      </c>
      <c r="Q170" s="1">
        <v>1.5</v>
      </c>
      <c r="R170" s="1">
        <v>44</v>
      </c>
      <c r="S170" s="1">
        <v>71</v>
      </c>
      <c r="T170" s="1">
        <v>1.5</v>
      </c>
      <c r="U170" s="1">
        <v>0.03</v>
      </c>
      <c r="V170" s="1">
        <v>13</v>
      </c>
      <c r="BE170" s="1"/>
      <c r="BF170" s="1"/>
    </row>
    <row r="171" spans="2:58">
      <c r="B171" t="str">
        <f t="shared" si="2"/>
        <v>ID/OD(mm): 45/100, C/C0(kN): 55.3/31.5</v>
      </c>
      <c r="C171" s="101">
        <v>45</v>
      </c>
      <c r="D171" s="101">
        <v>100</v>
      </c>
      <c r="E171" s="101">
        <v>25</v>
      </c>
      <c r="F171" s="93">
        <v>55.3</v>
      </c>
      <c r="G171" s="101">
        <v>31.5</v>
      </c>
      <c r="H171" s="101">
        <v>1.34</v>
      </c>
      <c r="I171" s="101">
        <v>15000</v>
      </c>
      <c r="J171" s="101">
        <v>9500</v>
      </c>
      <c r="K171" s="1">
        <v>0.84</v>
      </c>
      <c r="L171" s="1" t="s">
        <v>1067</v>
      </c>
      <c r="N171" s="1">
        <v>57.6</v>
      </c>
      <c r="O171" s="1">
        <v>72.400000000000006</v>
      </c>
      <c r="P171" s="1">
        <v>75.2</v>
      </c>
      <c r="Q171" s="1">
        <v>1.1000000000000001</v>
      </c>
      <c r="R171" s="1">
        <v>52</v>
      </c>
      <c r="S171" s="1">
        <v>78</v>
      </c>
      <c r="T171" s="1">
        <v>1</v>
      </c>
      <c r="U171" s="1">
        <v>2.5000000000000001E-2</v>
      </c>
      <c r="V171" s="1">
        <v>14</v>
      </c>
      <c r="BE171" s="1"/>
      <c r="BF171" s="1"/>
    </row>
    <row r="172" spans="2:58">
      <c r="B172" t="str">
        <f t="shared" si="2"/>
        <v>ID/OD(mm): 65/120, C/C0(kN): 58.5/40.5</v>
      </c>
      <c r="C172" s="101">
        <v>65</v>
      </c>
      <c r="D172" s="101">
        <v>120</v>
      </c>
      <c r="E172" s="101">
        <v>23</v>
      </c>
      <c r="F172" s="93">
        <v>58.5</v>
      </c>
      <c r="G172" s="101">
        <v>40.5</v>
      </c>
      <c r="H172" s="101">
        <v>1.73</v>
      </c>
      <c r="I172" s="101">
        <v>12000</v>
      </c>
      <c r="J172" s="101">
        <v>7500</v>
      </c>
      <c r="K172" s="1">
        <v>1</v>
      </c>
      <c r="L172" s="1" t="s">
        <v>1068</v>
      </c>
      <c r="N172" s="1">
        <v>76.3</v>
      </c>
      <c r="O172" s="1">
        <v>88.7</v>
      </c>
      <c r="P172" s="1">
        <v>91.5</v>
      </c>
      <c r="Q172" s="1">
        <v>1.1000000000000001</v>
      </c>
      <c r="R172" s="1">
        <v>71</v>
      </c>
      <c r="S172" s="1">
        <v>94</v>
      </c>
      <c r="T172" s="1">
        <v>1</v>
      </c>
      <c r="U172" s="1">
        <v>2.5000000000000001E-2</v>
      </c>
      <c r="V172" s="1">
        <v>16</v>
      </c>
      <c r="BE172" s="1"/>
      <c r="BF172" s="1"/>
    </row>
    <row r="173" spans="2:58">
      <c r="B173" t="str">
        <f t="shared" si="2"/>
        <v>ID/OD(mm): 110/170, C/C0(kN): 60.5/57</v>
      </c>
      <c r="C173" s="101">
        <v>110</v>
      </c>
      <c r="D173" s="101">
        <v>170</v>
      </c>
      <c r="E173" s="101">
        <v>19</v>
      </c>
      <c r="F173" s="93">
        <v>60.5</v>
      </c>
      <c r="G173" s="101">
        <v>57</v>
      </c>
      <c r="H173" s="101">
        <v>2.04</v>
      </c>
      <c r="I173" s="101">
        <v>8000</v>
      </c>
      <c r="J173" s="101">
        <v>5000</v>
      </c>
      <c r="K173" s="1">
        <v>1.45</v>
      </c>
      <c r="L173" s="1" t="s">
        <v>1069</v>
      </c>
      <c r="M173" s="1">
        <v>122</v>
      </c>
      <c r="O173" s="1">
        <v>138</v>
      </c>
      <c r="P173" s="1" t="s">
        <v>704</v>
      </c>
      <c r="Q173" s="1">
        <v>1.1000000000000001</v>
      </c>
      <c r="R173" s="1">
        <v>116</v>
      </c>
      <c r="S173" s="1">
        <v>144</v>
      </c>
      <c r="T173" s="1">
        <v>1</v>
      </c>
      <c r="U173" s="1">
        <v>0.02</v>
      </c>
      <c r="V173" s="1">
        <v>17</v>
      </c>
      <c r="BE173" s="1"/>
      <c r="BF173" s="1"/>
    </row>
    <row r="174" spans="2:58">
      <c r="B174" t="str">
        <f t="shared" si="2"/>
        <v>ID/OD(mm): 90/140, C/C0(kN): 60.5/50</v>
      </c>
      <c r="C174" s="101">
        <v>90</v>
      </c>
      <c r="D174" s="101">
        <v>140</v>
      </c>
      <c r="E174" s="101">
        <v>24</v>
      </c>
      <c r="F174" s="93">
        <v>60.5</v>
      </c>
      <c r="G174" s="101">
        <v>50</v>
      </c>
      <c r="H174" s="101">
        <v>1.96</v>
      </c>
      <c r="I174" s="101">
        <v>10000</v>
      </c>
      <c r="J174" s="101">
        <v>6300</v>
      </c>
      <c r="K174" s="1">
        <v>1.1499999999999999</v>
      </c>
      <c r="L174" s="1" t="s">
        <v>1070</v>
      </c>
      <c r="N174" s="1">
        <v>106</v>
      </c>
      <c r="O174" s="1">
        <v>124</v>
      </c>
      <c r="P174" s="1" t="s">
        <v>704</v>
      </c>
      <c r="Q174" s="1">
        <v>1</v>
      </c>
      <c r="R174" s="1">
        <v>94.6</v>
      </c>
      <c r="S174" s="1">
        <v>135</v>
      </c>
      <c r="T174" s="1">
        <v>1</v>
      </c>
      <c r="U174" s="1">
        <v>0.02</v>
      </c>
      <c r="V174" s="1">
        <v>16</v>
      </c>
      <c r="BE174" s="1"/>
      <c r="BF174" s="1"/>
    </row>
    <row r="175" spans="2:58">
      <c r="B175" t="str">
        <f t="shared" si="2"/>
        <v>ID/OD(mm): 170/215, C/C0(kN): 61.8/78</v>
      </c>
      <c r="C175" s="101">
        <v>170</v>
      </c>
      <c r="D175" s="101">
        <v>215</v>
      </c>
      <c r="E175" s="101">
        <v>22</v>
      </c>
      <c r="F175" s="93">
        <v>61.8</v>
      </c>
      <c r="G175" s="101">
        <v>78</v>
      </c>
      <c r="H175" s="101">
        <v>2.4</v>
      </c>
      <c r="I175" s="101">
        <v>6000</v>
      </c>
      <c r="J175" s="101">
        <v>3600</v>
      </c>
      <c r="K175" s="1">
        <v>1.65</v>
      </c>
      <c r="L175" s="1" t="s">
        <v>1071</v>
      </c>
      <c r="N175" s="1">
        <v>218</v>
      </c>
      <c r="O175" s="1">
        <v>281</v>
      </c>
      <c r="P175" s="1" t="s">
        <v>704</v>
      </c>
      <c r="Q175" s="1">
        <v>4</v>
      </c>
      <c r="R175" s="1">
        <v>177</v>
      </c>
      <c r="S175" s="1">
        <v>323</v>
      </c>
      <c r="T175" s="1">
        <v>3</v>
      </c>
      <c r="U175" s="1">
        <v>0.03</v>
      </c>
      <c r="V175" s="1">
        <v>14</v>
      </c>
      <c r="BE175" s="1"/>
      <c r="BF175" s="1"/>
    </row>
    <row r="176" spans="2:58">
      <c r="B176" t="str">
        <f t="shared" si="2"/>
        <v>ID/OD(mm): 180/225, C/C0(kN): 62.4/81.5</v>
      </c>
      <c r="C176" s="101">
        <v>180</v>
      </c>
      <c r="D176" s="101">
        <v>225</v>
      </c>
      <c r="E176" s="101">
        <v>22</v>
      </c>
      <c r="F176" s="93">
        <v>62.4</v>
      </c>
      <c r="G176" s="101">
        <v>81.5</v>
      </c>
      <c r="H176" s="101">
        <v>2.4500000000000002</v>
      </c>
      <c r="I176" s="101">
        <v>5600</v>
      </c>
      <c r="J176" s="101">
        <v>3400</v>
      </c>
      <c r="K176" s="1">
        <v>1.75</v>
      </c>
      <c r="L176" s="1" t="s">
        <v>1072</v>
      </c>
      <c r="N176" s="1">
        <v>230</v>
      </c>
      <c r="O176" s="1">
        <v>299</v>
      </c>
      <c r="P176" s="1" t="s">
        <v>704</v>
      </c>
      <c r="Q176" s="1">
        <v>4</v>
      </c>
      <c r="R176" s="1">
        <v>187</v>
      </c>
      <c r="S176" s="1">
        <v>343</v>
      </c>
      <c r="T176" s="1">
        <v>3</v>
      </c>
      <c r="U176" s="1">
        <v>0.03</v>
      </c>
      <c r="V176" s="1">
        <v>14</v>
      </c>
      <c r="BE176" s="1"/>
      <c r="BF176" s="1"/>
    </row>
    <row r="177" spans="2:58">
      <c r="B177" t="str">
        <f t="shared" si="2"/>
        <v>ID/OD(mm): 120/180, C/C0(kN): 63.7/64</v>
      </c>
      <c r="C177" s="101">
        <v>120</v>
      </c>
      <c r="D177" s="101">
        <v>180</v>
      </c>
      <c r="E177" s="101">
        <v>19</v>
      </c>
      <c r="F177" s="93">
        <v>63.7</v>
      </c>
      <c r="G177" s="101">
        <v>64</v>
      </c>
      <c r="H177" s="101">
        <v>2.2000000000000002</v>
      </c>
      <c r="I177" s="101">
        <v>7500</v>
      </c>
      <c r="J177" s="101">
        <v>4800</v>
      </c>
      <c r="K177" s="1">
        <v>1.55</v>
      </c>
      <c r="L177" s="1" t="s">
        <v>1073</v>
      </c>
      <c r="N177" s="1">
        <v>134</v>
      </c>
      <c r="O177" s="1">
        <v>151</v>
      </c>
      <c r="P177" s="1" t="s">
        <v>704</v>
      </c>
      <c r="Q177" s="1">
        <v>1.1000000000000001</v>
      </c>
      <c r="R177" s="1">
        <v>126</v>
      </c>
      <c r="S177" s="1">
        <v>159</v>
      </c>
      <c r="T177" s="1">
        <v>1</v>
      </c>
      <c r="U177" s="1">
        <v>0.02</v>
      </c>
      <c r="V177" s="1">
        <v>17</v>
      </c>
      <c r="BE177" s="1"/>
      <c r="BF177" s="1"/>
    </row>
    <row r="178" spans="2:58">
      <c r="B178" t="str">
        <f t="shared" si="2"/>
        <v>ID/OD(mm): 70/125, C/C0(kN): 63.7/45</v>
      </c>
      <c r="C178" s="101">
        <v>70</v>
      </c>
      <c r="D178" s="101">
        <v>125</v>
      </c>
      <c r="E178" s="101">
        <v>24</v>
      </c>
      <c r="F178" s="93">
        <v>63.7</v>
      </c>
      <c r="G178" s="101">
        <v>45</v>
      </c>
      <c r="H178" s="101">
        <v>1.9</v>
      </c>
      <c r="I178" s="101">
        <v>11000</v>
      </c>
      <c r="J178" s="101">
        <v>7000</v>
      </c>
      <c r="K178" s="1">
        <v>1.1000000000000001</v>
      </c>
      <c r="L178" s="1" t="s">
        <v>1074</v>
      </c>
      <c r="N178" s="1">
        <v>82.8</v>
      </c>
      <c r="O178" s="1">
        <v>97.2</v>
      </c>
      <c r="P178" s="1">
        <v>99.9</v>
      </c>
      <c r="Q178" s="1">
        <v>1.1000000000000001</v>
      </c>
      <c r="R178" s="1">
        <v>76</v>
      </c>
      <c r="S178" s="1">
        <v>104</v>
      </c>
      <c r="T178" s="1">
        <v>1</v>
      </c>
      <c r="U178" s="1">
        <v>2.5000000000000001E-2</v>
      </c>
      <c r="V178" s="1">
        <v>16</v>
      </c>
      <c r="BE178" s="1"/>
      <c r="BF178" s="1"/>
    </row>
    <row r="179" spans="2:58">
      <c r="B179" t="str">
        <f t="shared" si="2"/>
        <v>ID/OD(mm): 95/145, C/C0(kN): 63.7/54</v>
      </c>
      <c r="C179" s="101">
        <v>95</v>
      </c>
      <c r="D179" s="101">
        <v>145</v>
      </c>
      <c r="E179" s="101">
        <v>24</v>
      </c>
      <c r="F179" s="93">
        <v>63.7</v>
      </c>
      <c r="G179" s="101">
        <v>54</v>
      </c>
      <c r="H179" s="101">
        <v>2.08</v>
      </c>
      <c r="I179" s="101">
        <v>9500</v>
      </c>
      <c r="J179" s="101">
        <v>6000</v>
      </c>
      <c r="K179" s="1">
        <v>1.1000000000000001</v>
      </c>
      <c r="L179" s="1" t="s">
        <v>1075</v>
      </c>
      <c r="N179" s="1">
        <v>111</v>
      </c>
      <c r="O179" s="1">
        <v>129</v>
      </c>
      <c r="P179" s="1" t="s">
        <v>704</v>
      </c>
      <c r="Q179" s="1">
        <v>1</v>
      </c>
      <c r="R179" s="1">
        <v>99.6</v>
      </c>
      <c r="S179" s="1">
        <v>140</v>
      </c>
      <c r="T179" s="1">
        <v>1</v>
      </c>
      <c r="U179" s="1">
        <v>0.02</v>
      </c>
      <c r="V179" s="1">
        <v>16</v>
      </c>
      <c r="BE179" s="1"/>
      <c r="BF179" s="1"/>
    </row>
    <row r="180" spans="2:58">
      <c r="B180" t="str">
        <f t="shared" si="2"/>
        <v>ID/OD(mm): 100/150, C/C0(kN): 63.7/54</v>
      </c>
      <c r="C180" s="101">
        <v>100</v>
      </c>
      <c r="D180" s="101">
        <v>150</v>
      </c>
      <c r="E180" s="101">
        <v>24</v>
      </c>
      <c r="F180" s="93">
        <v>63.7</v>
      </c>
      <c r="G180" s="101">
        <v>54</v>
      </c>
      <c r="H180" s="101">
        <v>2.04</v>
      </c>
      <c r="I180" s="101">
        <v>9500</v>
      </c>
      <c r="J180" s="101">
        <v>5600</v>
      </c>
      <c r="K180" s="1">
        <v>1.25</v>
      </c>
      <c r="L180" s="1" t="s">
        <v>1076</v>
      </c>
      <c r="N180" s="1">
        <v>116</v>
      </c>
      <c r="O180" s="1">
        <v>134</v>
      </c>
      <c r="P180" s="1" t="s">
        <v>704</v>
      </c>
      <c r="Q180" s="1">
        <v>1</v>
      </c>
      <c r="R180" s="1">
        <v>105</v>
      </c>
      <c r="S180" s="1">
        <v>145</v>
      </c>
      <c r="T180" s="1">
        <v>1</v>
      </c>
      <c r="U180" s="1">
        <v>0.02</v>
      </c>
      <c r="V180" s="1">
        <v>17</v>
      </c>
      <c r="BE180" s="1"/>
      <c r="BF180" s="1"/>
    </row>
    <row r="181" spans="2:58">
      <c r="B181" t="str">
        <f t="shared" si="2"/>
        <v>ID/OD(mm): 40/110, C/C0(kN): 63.7/36.5</v>
      </c>
      <c r="C181" s="101">
        <v>40</v>
      </c>
      <c r="D181" s="101">
        <v>110</v>
      </c>
      <c r="E181" s="101">
        <v>27</v>
      </c>
      <c r="F181" s="93">
        <v>63.7</v>
      </c>
      <c r="G181" s="101">
        <v>36.5</v>
      </c>
      <c r="H181" s="101">
        <v>1.53</v>
      </c>
      <c r="I181" s="101">
        <v>14000</v>
      </c>
      <c r="J181" s="101">
        <v>9000</v>
      </c>
      <c r="K181" s="1">
        <v>1.25</v>
      </c>
      <c r="L181" s="1" t="s">
        <v>1077</v>
      </c>
      <c r="N181" s="1">
        <v>56.1</v>
      </c>
      <c r="O181" s="1">
        <v>73.8</v>
      </c>
      <c r="P181" s="1">
        <v>77.7</v>
      </c>
      <c r="Q181" s="1">
        <v>1.5</v>
      </c>
      <c r="R181" s="1">
        <v>49</v>
      </c>
      <c r="S181" s="1">
        <v>81</v>
      </c>
      <c r="T181" s="1">
        <v>1.5</v>
      </c>
      <c r="U181" s="1">
        <v>0.03</v>
      </c>
      <c r="V181" s="1">
        <v>13</v>
      </c>
      <c r="BE181" s="1"/>
      <c r="BF181" s="1"/>
    </row>
    <row r="182" spans="2:58">
      <c r="B182" t="str">
        <f t="shared" si="2"/>
        <v>ID/OD(mm): 130/180, C/C0(kN): 65/67</v>
      </c>
      <c r="C182" s="101">
        <v>130</v>
      </c>
      <c r="D182" s="101">
        <v>180</v>
      </c>
      <c r="E182" s="101">
        <v>24</v>
      </c>
      <c r="F182" s="93">
        <v>65</v>
      </c>
      <c r="G182" s="101">
        <v>67</v>
      </c>
      <c r="H182" s="101">
        <v>2.2799999999999998</v>
      </c>
      <c r="I182" s="101">
        <v>7500</v>
      </c>
      <c r="J182" s="101">
        <v>4500</v>
      </c>
      <c r="K182" s="1">
        <v>1.6</v>
      </c>
      <c r="L182" s="1" t="s">
        <v>1078</v>
      </c>
      <c r="M182" s="1">
        <v>130</v>
      </c>
      <c r="N182" s="1">
        <v>140</v>
      </c>
      <c r="O182" s="1">
        <v>155</v>
      </c>
      <c r="P182" s="1" t="s">
        <v>704</v>
      </c>
      <c r="Q182" s="1">
        <v>1.1000000000000001</v>
      </c>
      <c r="R182" s="1">
        <v>136</v>
      </c>
      <c r="S182" s="1">
        <v>159</v>
      </c>
      <c r="T182" s="1">
        <v>1</v>
      </c>
      <c r="U182" s="1">
        <v>1.4999999999999999E-2</v>
      </c>
      <c r="V182" s="1">
        <v>16</v>
      </c>
      <c r="BE182" s="1"/>
      <c r="BF182" s="1"/>
    </row>
    <row r="183" spans="2:58">
      <c r="B183" t="str">
        <f t="shared" si="2"/>
        <v>ID/OD(mm): 50/110, C/C0(kN): 65/38</v>
      </c>
      <c r="C183" s="101">
        <v>50</v>
      </c>
      <c r="D183" s="101">
        <v>110</v>
      </c>
      <c r="E183" s="101">
        <v>27</v>
      </c>
      <c r="F183" s="93">
        <v>65</v>
      </c>
      <c r="G183" s="101">
        <v>38</v>
      </c>
      <c r="H183" s="101">
        <v>1.6</v>
      </c>
      <c r="I183" s="101">
        <v>13000</v>
      </c>
      <c r="J183" s="101">
        <v>8500</v>
      </c>
      <c r="K183" s="1">
        <v>1.1000000000000001</v>
      </c>
      <c r="L183" s="1" t="s">
        <v>1079</v>
      </c>
      <c r="N183" s="1">
        <v>62.5</v>
      </c>
      <c r="O183" s="1">
        <v>77.400000000000006</v>
      </c>
      <c r="P183" s="1">
        <v>81.7</v>
      </c>
      <c r="Q183" s="1">
        <v>1.1000000000000001</v>
      </c>
      <c r="R183" s="1">
        <v>57</v>
      </c>
      <c r="S183" s="1">
        <v>83</v>
      </c>
      <c r="T183" s="1">
        <v>1</v>
      </c>
      <c r="U183" s="1">
        <v>2.5000000000000001E-2</v>
      </c>
      <c r="V183" s="1">
        <v>14</v>
      </c>
      <c r="BE183" s="1"/>
      <c r="BF183" s="1"/>
    </row>
    <row r="184" spans="2:58">
      <c r="B184" t="str">
        <f t="shared" si="2"/>
        <v>ID/OD(mm): 140/190, C/C0(kN): 66.3/72</v>
      </c>
      <c r="C184" s="101">
        <v>140</v>
      </c>
      <c r="D184" s="101">
        <v>190</v>
      </c>
      <c r="E184" s="101">
        <v>24</v>
      </c>
      <c r="F184" s="93">
        <v>66.3</v>
      </c>
      <c r="G184" s="101">
        <v>72</v>
      </c>
      <c r="H184" s="101">
        <v>2.36</v>
      </c>
      <c r="I184" s="101">
        <v>7000</v>
      </c>
      <c r="J184" s="101">
        <v>4300</v>
      </c>
      <c r="K184" s="1">
        <v>1.7</v>
      </c>
      <c r="L184" s="1" t="s">
        <v>1080</v>
      </c>
      <c r="M184" s="1">
        <v>140</v>
      </c>
      <c r="N184" s="1">
        <v>150</v>
      </c>
      <c r="O184" s="1">
        <v>164</v>
      </c>
      <c r="P184" s="1" t="s">
        <v>704</v>
      </c>
      <c r="Q184" s="1">
        <v>1.1000000000000001</v>
      </c>
      <c r="R184" s="1">
        <v>146</v>
      </c>
      <c r="S184" s="1">
        <v>169</v>
      </c>
      <c r="T184" s="1">
        <v>1</v>
      </c>
      <c r="U184" s="1">
        <v>1.4999999999999999E-2</v>
      </c>
      <c r="V184" s="1">
        <v>16</v>
      </c>
      <c r="BE184" s="1"/>
    </row>
    <row r="185" spans="2:58">
      <c r="B185" t="str">
        <f t="shared" si="2"/>
        <v>ID/OD(mm): 140/190, C/C0(kN): 66.3/72</v>
      </c>
      <c r="C185" s="101">
        <v>140</v>
      </c>
      <c r="D185" s="101">
        <v>190</v>
      </c>
      <c r="E185" s="101">
        <v>24</v>
      </c>
      <c r="F185" s="93">
        <v>66.3</v>
      </c>
      <c r="G185" s="101">
        <v>72</v>
      </c>
      <c r="H185" s="101">
        <v>2.36</v>
      </c>
      <c r="I185" s="101">
        <v>7000</v>
      </c>
      <c r="J185" s="101">
        <v>5600</v>
      </c>
      <c r="K185" s="1">
        <v>2</v>
      </c>
      <c r="L185" s="1" t="s">
        <v>1081</v>
      </c>
      <c r="N185" s="1">
        <v>156</v>
      </c>
      <c r="O185" s="1">
        <v>174</v>
      </c>
      <c r="P185" s="1" t="s">
        <v>704</v>
      </c>
      <c r="Q185" s="1">
        <v>1.5</v>
      </c>
      <c r="R185" s="1">
        <v>147</v>
      </c>
      <c r="S185" s="1">
        <v>183</v>
      </c>
      <c r="T185" s="1">
        <v>1.5</v>
      </c>
      <c r="U185" s="1">
        <v>0.02</v>
      </c>
      <c r="V185" s="1">
        <v>15</v>
      </c>
      <c r="BE185" s="1"/>
    </row>
    <row r="186" spans="2:58">
      <c r="B186" t="str">
        <f t="shared" si="2"/>
        <v>ID/OD(mm): 75/130, C/C0(kN): 68.9/49</v>
      </c>
      <c r="C186" s="101">
        <v>75</v>
      </c>
      <c r="D186" s="101">
        <v>130</v>
      </c>
      <c r="E186" s="101">
        <v>25</v>
      </c>
      <c r="F186" s="93">
        <v>68.900000000000006</v>
      </c>
      <c r="G186" s="101">
        <v>49</v>
      </c>
      <c r="H186" s="101">
        <v>2.04</v>
      </c>
      <c r="I186" s="101">
        <v>10000</v>
      </c>
      <c r="J186" s="101">
        <v>6700</v>
      </c>
      <c r="K186" s="1">
        <v>1.2</v>
      </c>
      <c r="L186" s="1" t="s">
        <v>1082</v>
      </c>
      <c r="N186" s="1">
        <v>87.8</v>
      </c>
      <c r="O186" s="1">
        <v>103</v>
      </c>
      <c r="P186" s="1">
        <v>105</v>
      </c>
      <c r="Q186" s="1">
        <v>1.1000000000000001</v>
      </c>
      <c r="R186" s="1">
        <v>81</v>
      </c>
      <c r="S186" s="1">
        <v>109</v>
      </c>
      <c r="T186" s="1">
        <v>1</v>
      </c>
      <c r="U186" s="1">
        <v>2.5000000000000001E-2</v>
      </c>
      <c r="V186" s="1">
        <v>16</v>
      </c>
      <c r="BE186" s="1"/>
    </row>
    <row r="187" spans="2:58">
      <c r="B187" t="str">
        <f t="shared" si="2"/>
        <v>ID/OD(mm): 80/140, C/C0(kN): 72.8/55</v>
      </c>
      <c r="C187" s="101">
        <v>80</v>
      </c>
      <c r="D187" s="101">
        <v>140</v>
      </c>
      <c r="E187" s="101">
        <v>26</v>
      </c>
      <c r="F187" s="93">
        <v>72.8</v>
      </c>
      <c r="G187" s="101">
        <v>55</v>
      </c>
      <c r="H187" s="101">
        <v>2.2000000000000002</v>
      </c>
      <c r="I187" s="101">
        <v>9500</v>
      </c>
      <c r="J187" s="101">
        <v>6000</v>
      </c>
      <c r="K187" s="1">
        <v>1.45</v>
      </c>
      <c r="L187" s="1" t="s">
        <v>1083</v>
      </c>
      <c r="N187" s="1">
        <v>94.4</v>
      </c>
      <c r="O187" s="1">
        <v>111</v>
      </c>
      <c r="P187" s="1">
        <v>115</v>
      </c>
      <c r="Q187" s="1">
        <v>1.1000000000000001</v>
      </c>
      <c r="R187" s="1">
        <v>86</v>
      </c>
      <c r="S187" s="1">
        <v>119</v>
      </c>
      <c r="T187" s="1">
        <v>1</v>
      </c>
      <c r="U187" s="1">
        <v>2.5000000000000001E-2</v>
      </c>
      <c r="V187" s="1">
        <v>16</v>
      </c>
      <c r="BE187" s="1"/>
    </row>
    <row r="188" spans="2:58">
      <c r="B188" t="str">
        <f t="shared" si="2"/>
        <v>ID/OD(mm): 55/120, C/C0(kN): 74.1/45</v>
      </c>
      <c r="C188" s="101">
        <v>55</v>
      </c>
      <c r="D188" s="101">
        <v>120</v>
      </c>
      <c r="E188" s="101">
        <v>29</v>
      </c>
      <c r="F188" s="93">
        <v>74.099999999999994</v>
      </c>
      <c r="G188" s="101">
        <v>45</v>
      </c>
      <c r="H188" s="101">
        <v>1.9</v>
      </c>
      <c r="I188" s="101">
        <v>12000</v>
      </c>
      <c r="J188" s="101">
        <v>8000</v>
      </c>
      <c r="K188" s="1">
        <v>1.35</v>
      </c>
      <c r="L188" s="1" t="s">
        <v>1084</v>
      </c>
      <c r="N188" s="1">
        <v>69</v>
      </c>
      <c r="O188" s="1">
        <v>85.8</v>
      </c>
      <c r="P188" s="1">
        <v>89.4</v>
      </c>
      <c r="Q188" s="1">
        <v>1.5</v>
      </c>
      <c r="R188" s="1">
        <v>64</v>
      </c>
      <c r="S188" s="1">
        <v>91</v>
      </c>
      <c r="T188" s="1">
        <v>1.5</v>
      </c>
      <c r="U188" s="1">
        <v>2.5000000000000001E-2</v>
      </c>
      <c r="V188" s="1">
        <v>14</v>
      </c>
      <c r="BE188" s="1"/>
    </row>
    <row r="189" spans="2:58">
      <c r="B189" t="str">
        <f t="shared" si="2"/>
        <v>ID/OD(mm): 105/160, C/C0(kN): 76.1/65.5</v>
      </c>
      <c r="C189" s="101">
        <v>105</v>
      </c>
      <c r="D189" s="101">
        <v>160</v>
      </c>
      <c r="E189" s="101">
        <v>26</v>
      </c>
      <c r="F189" s="93">
        <v>76.099999999999994</v>
      </c>
      <c r="G189" s="101">
        <v>65.5</v>
      </c>
      <c r="H189" s="101">
        <v>2.4</v>
      </c>
      <c r="I189" s="101">
        <v>8500</v>
      </c>
      <c r="J189" s="101">
        <v>5300</v>
      </c>
      <c r="K189" s="1">
        <v>1.6</v>
      </c>
      <c r="L189" s="1" t="s">
        <v>1085</v>
      </c>
      <c r="N189" s="1">
        <v>123</v>
      </c>
      <c r="O189" s="1">
        <v>142</v>
      </c>
      <c r="P189" s="1" t="s">
        <v>704</v>
      </c>
      <c r="Q189" s="1">
        <v>1</v>
      </c>
      <c r="R189" s="1">
        <v>110</v>
      </c>
      <c r="S189" s="1">
        <v>155</v>
      </c>
      <c r="T189" s="1">
        <v>1</v>
      </c>
      <c r="U189" s="1">
        <v>0.02</v>
      </c>
      <c r="V189" s="1">
        <v>16</v>
      </c>
      <c r="BE189" s="1"/>
    </row>
    <row r="190" spans="2:58">
      <c r="B190" t="str">
        <f t="shared" si="2"/>
        <v>ID/OD(mm): 45/120, C/C0(kN): 76.1/45</v>
      </c>
      <c r="C190" s="101">
        <v>45</v>
      </c>
      <c r="D190" s="101">
        <v>120</v>
      </c>
      <c r="E190" s="101">
        <v>29</v>
      </c>
      <c r="F190" s="93">
        <v>76.099999999999994</v>
      </c>
      <c r="G190" s="101">
        <v>45</v>
      </c>
      <c r="H190" s="101">
        <v>1.9</v>
      </c>
      <c r="I190" s="101">
        <v>13000</v>
      </c>
      <c r="J190" s="101">
        <v>8500</v>
      </c>
      <c r="K190" s="1">
        <v>1.55</v>
      </c>
      <c r="L190" s="1" t="s">
        <v>1086</v>
      </c>
      <c r="N190" s="1">
        <v>62.1</v>
      </c>
      <c r="O190" s="1">
        <v>82.7</v>
      </c>
      <c r="P190" s="1">
        <v>86.7</v>
      </c>
      <c r="Q190" s="1">
        <v>1.5</v>
      </c>
      <c r="R190" s="1">
        <v>54</v>
      </c>
      <c r="S190" s="1">
        <v>91</v>
      </c>
      <c r="T190" s="1">
        <v>1.5</v>
      </c>
      <c r="U190" s="1">
        <v>0.03</v>
      </c>
      <c r="V190" s="1">
        <v>13</v>
      </c>
      <c r="BE190" s="1"/>
    </row>
    <row r="191" spans="2:58">
      <c r="B191" t="str">
        <f t="shared" si="2"/>
        <v>ID/OD(mm): 140/210, C/C0(kN): 80.6/86.5</v>
      </c>
      <c r="C191" s="101">
        <v>140</v>
      </c>
      <c r="D191" s="101">
        <v>210</v>
      </c>
      <c r="E191" s="101">
        <v>22</v>
      </c>
      <c r="F191" s="93">
        <v>80.599999999999994</v>
      </c>
      <c r="G191" s="101">
        <v>86.5</v>
      </c>
      <c r="H191" s="101">
        <v>2.8</v>
      </c>
      <c r="I191" s="101">
        <v>6700</v>
      </c>
      <c r="J191" s="101">
        <v>4000</v>
      </c>
      <c r="K191" s="1">
        <v>2.5499999999999998</v>
      </c>
      <c r="L191" s="1" t="s">
        <v>1087</v>
      </c>
      <c r="N191" s="1">
        <v>156</v>
      </c>
      <c r="O191" s="1">
        <v>175</v>
      </c>
      <c r="P191" s="1" t="s">
        <v>704</v>
      </c>
      <c r="Q191" s="1">
        <v>1.5</v>
      </c>
      <c r="R191" s="1">
        <v>147</v>
      </c>
      <c r="S191" s="1">
        <v>183</v>
      </c>
      <c r="T191" s="1">
        <v>1.5</v>
      </c>
      <c r="U191" s="1">
        <v>0.02</v>
      </c>
      <c r="V191" s="1">
        <v>17</v>
      </c>
      <c r="BE191" s="1"/>
    </row>
    <row r="192" spans="2:58">
      <c r="B192" t="str">
        <f t="shared" si="2"/>
        <v>ID/OD(mm): 130/200, C/C0(kN): 83.2/81.5</v>
      </c>
      <c r="C192" s="101">
        <v>130</v>
      </c>
      <c r="D192" s="101">
        <v>200</v>
      </c>
      <c r="E192" s="101">
        <v>22</v>
      </c>
      <c r="F192" s="93">
        <v>83.2</v>
      </c>
      <c r="G192" s="101">
        <v>81.5</v>
      </c>
      <c r="H192" s="101">
        <v>2.7</v>
      </c>
      <c r="I192" s="101">
        <v>7000</v>
      </c>
      <c r="J192" s="101">
        <v>4300</v>
      </c>
      <c r="K192" s="1">
        <v>2.35</v>
      </c>
      <c r="L192" s="1" t="s">
        <v>1088</v>
      </c>
      <c r="N192" s="1">
        <v>145</v>
      </c>
      <c r="O192" s="1">
        <v>164</v>
      </c>
      <c r="P192" s="1" t="s">
        <v>704</v>
      </c>
      <c r="Q192" s="1">
        <v>1.5</v>
      </c>
      <c r="R192" s="1">
        <v>137</v>
      </c>
      <c r="S192" s="1">
        <v>173</v>
      </c>
      <c r="T192" s="1">
        <v>1.5</v>
      </c>
      <c r="U192" s="1">
        <v>0.02</v>
      </c>
      <c r="V192" s="1">
        <v>16</v>
      </c>
      <c r="BE192" s="1"/>
    </row>
    <row r="193" spans="2:57">
      <c r="B193" t="str">
        <f t="shared" si="2"/>
        <v>ID/OD(mm): 110/170, C/C0(kN): 85.2/73.5</v>
      </c>
      <c r="C193" s="101">
        <v>110</v>
      </c>
      <c r="D193" s="101">
        <v>170</v>
      </c>
      <c r="E193" s="101">
        <v>28</v>
      </c>
      <c r="F193" s="93">
        <v>85.2</v>
      </c>
      <c r="G193" s="101">
        <v>73.5</v>
      </c>
      <c r="H193" s="101">
        <v>2.6</v>
      </c>
      <c r="I193" s="101">
        <v>8000</v>
      </c>
      <c r="J193" s="101">
        <v>5000</v>
      </c>
      <c r="K193" s="1">
        <v>1.95</v>
      </c>
      <c r="L193" s="1" t="s">
        <v>1089</v>
      </c>
      <c r="M193" s="1">
        <v>130</v>
      </c>
      <c r="O193" s="1">
        <v>150</v>
      </c>
      <c r="P193" s="1" t="s">
        <v>704</v>
      </c>
      <c r="Q193" s="1">
        <v>1</v>
      </c>
      <c r="R193" s="1">
        <v>115</v>
      </c>
      <c r="S193" s="1">
        <v>165</v>
      </c>
      <c r="T193" s="1">
        <v>1</v>
      </c>
      <c r="U193" s="1">
        <v>0.02</v>
      </c>
      <c r="V193" s="1">
        <v>16</v>
      </c>
      <c r="BE193" s="1"/>
    </row>
    <row r="194" spans="2:57">
      <c r="B194" t="str">
        <f t="shared" si="2"/>
        <v>ID/OD(mm): 60/130, C/C0(kN): 85.2/52</v>
      </c>
      <c r="C194" s="101">
        <v>60</v>
      </c>
      <c r="D194" s="101">
        <v>130</v>
      </c>
      <c r="E194" s="101">
        <v>31</v>
      </c>
      <c r="F194" s="93">
        <v>85.2</v>
      </c>
      <c r="G194" s="101">
        <v>52</v>
      </c>
      <c r="H194" s="101">
        <v>2.2000000000000002</v>
      </c>
      <c r="I194" s="101">
        <v>11000</v>
      </c>
      <c r="J194" s="101">
        <v>7000</v>
      </c>
      <c r="K194" s="1">
        <v>1.7</v>
      </c>
      <c r="L194" s="1" t="s">
        <v>1090</v>
      </c>
      <c r="N194" s="1">
        <v>75.5</v>
      </c>
      <c r="O194" s="1">
        <v>94.6</v>
      </c>
      <c r="P194" s="1">
        <v>98</v>
      </c>
      <c r="Q194" s="1">
        <v>1.5</v>
      </c>
      <c r="R194" s="1">
        <v>69</v>
      </c>
      <c r="S194" s="1">
        <v>101</v>
      </c>
      <c r="T194" s="1">
        <v>1.5</v>
      </c>
      <c r="U194" s="1">
        <v>2.5000000000000001E-2</v>
      </c>
      <c r="V194" s="1">
        <v>14</v>
      </c>
      <c r="BE194" s="1"/>
    </row>
    <row r="195" spans="2:57">
      <c r="B195" t="str">
        <f t="shared" si="2"/>
        <v>ID/OD(mm): 85/150, C/C0(kN): 87.1/64</v>
      </c>
      <c r="C195" s="101">
        <v>85</v>
      </c>
      <c r="D195" s="101">
        <v>150</v>
      </c>
      <c r="E195" s="101">
        <v>28</v>
      </c>
      <c r="F195" s="93">
        <v>87.1</v>
      </c>
      <c r="G195" s="101">
        <v>64</v>
      </c>
      <c r="H195" s="101">
        <v>2.5</v>
      </c>
      <c r="I195" s="101">
        <v>9000</v>
      </c>
      <c r="J195" s="101">
        <v>5600</v>
      </c>
      <c r="K195" s="1">
        <v>1.8</v>
      </c>
      <c r="L195" s="1" t="s">
        <v>1091</v>
      </c>
      <c r="N195" s="1">
        <v>99.4</v>
      </c>
      <c r="O195" s="1">
        <v>116</v>
      </c>
      <c r="P195" s="1">
        <v>120</v>
      </c>
      <c r="Q195" s="1">
        <v>1.1000000000000001</v>
      </c>
      <c r="R195" s="1">
        <v>92</v>
      </c>
      <c r="S195" s="1">
        <v>123</v>
      </c>
      <c r="T195" s="1">
        <v>1</v>
      </c>
      <c r="U195" s="1">
        <v>2.5000000000000001E-2</v>
      </c>
      <c r="V195" s="1">
        <v>16</v>
      </c>
      <c r="BE195" s="1"/>
    </row>
    <row r="196" spans="2:57">
      <c r="B196" t="str">
        <f t="shared" si="2"/>
        <v>ID/OD(mm): 50/130, C/C0(kN): 87.1/52</v>
      </c>
      <c r="C196" s="101">
        <v>50</v>
      </c>
      <c r="D196" s="101">
        <v>130</v>
      </c>
      <c r="E196" s="101">
        <v>31</v>
      </c>
      <c r="F196" s="93">
        <v>87.1</v>
      </c>
      <c r="G196" s="101">
        <v>52</v>
      </c>
      <c r="H196" s="101">
        <v>2.2000000000000002</v>
      </c>
      <c r="I196" s="101">
        <v>12000</v>
      </c>
      <c r="J196" s="101">
        <v>7500</v>
      </c>
      <c r="K196" s="1">
        <v>1.95</v>
      </c>
      <c r="L196" s="1" t="s">
        <v>1092</v>
      </c>
      <c r="N196" s="1">
        <v>68.7</v>
      </c>
      <c r="O196" s="1">
        <v>91.1</v>
      </c>
      <c r="P196" s="1">
        <v>95.2</v>
      </c>
      <c r="Q196" s="1">
        <v>2</v>
      </c>
      <c r="R196" s="1">
        <v>61</v>
      </c>
      <c r="S196" s="1">
        <v>99</v>
      </c>
      <c r="T196" s="1">
        <v>2</v>
      </c>
      <c r="U196" s="1">
        <v>0.03</v>
      </c>
      <c r="V196" s="1">
        <v>13</v>
      </c>
      <c r="BE196" s="1"/>
    </row>
    <row r="197" spans="2:57">
      <c r="B197" t="str">
        <f t="shared" si="2"/>
        <v>ID/OD(mm): 120/180, C/C0(kN): 88.4/80</v>
      </c>
      <c r="C197" s="101">
        <v>120</v>
      </c>
      <c r="D197" s="101">
        <v>180</v>
      </c>
      <c r="E197" s="101">
        <v>28</v>
      </c>
      <c r="F197" s="93">
        <v>88.4</v>
      </c>
      <c r="G197" s="101">
        <v>80</v>
      </c>
      <c r="H197" s="101">
        <v>2.75</v>
      </c>
      <c r="I197" s="101">
        <v>7500</v>
      </c>
      <c r="J197" s="101">
        <v>4800</v>
      </c>
      <c r="K197" s="1">
        <v>2.1</v>
      </c>
      <c r="L197" s="1" t="s">
        <v>1093</v>
      </c>
      <c r="N197" s="1">
        <v>139</v>
      </c>
      <c r="O197" s="1">
        <v>161</v>
      </c>
      <c r="P197" s="1" t="s">
        <v>704</v>
      </c>
      <c r="Q197" s="1">
        <v>1</v>
      </c>
      <c r="R197" s="1">
        <v>125</v>
      </c>
      <c r="S197" s="1">
        <v>175</v>
      </c>
      <c r="T197" s="1">
        <v>1</v>
      </c>
      <c r="U197" s="1">
        <v>0.02</v>
      </c>
      <c r="V197" s="1">
        <v>17</v>
      </c>
      <c r="BE197" s="1"/>
    </row>
    <row r="198" spans="2:57">
      <c r="B198" t="str">
        <f t="shared" si="2"/>
        <v>ID/OD(mm): 150/210, C/C0(kN): 88.4/93</v>
      </c>
      <c r="C198" s="101">
        <v>150</v>
      </c>
      <c r="D198" s="101">
        <v>210</v>
      </c>
      <c r="E198" s="101">
        <v>28</v>
      </c>
      <c r="F198" s="93">
        <v>88.4</v>
      </c>
      <c r="G198" s="101">
        <v>93</v>
      </c>
      <c r="H198" s="101">
        <v>2.9</v>
      </c>
      <c r="I198" s="101">
        <v>6300</v>
      </c>
      <c r="J198" s="101">
        <v>5300</v>
      </c>
      <c r="K198" s="1">
        <v>3.05</v>
      </c>
      <c r="L198" s="1" t="s">
        <v>1094</v>
      </c>
      <c r="M198" s="1">
        <v>150</v>
      </c>
      <c r="N198" s="1">
        <v>162</v>
      </c>
      <c r="O198" s="1">
        <v>178</v>
      </c>
      <c r="P198" s="1" t="s">
        <v>704</v>
      </c>
      <c r="Q198" s="1">
        <v>1.1000000000000001</v>
      </c>
      <c r="R198" s="1">
        <v>156</v>
      </c>
      <c r="S198" s="1">
        <v>184</v>
      </c>
      <c r="T198" s="1">
        <v>1</v>
      </c>
      <c r="U198" s="1">
        <v>1.4999999999999999E-2</v>
      </c>
      <c r="V198" s="1">
        <v>17</v>
      </c>
      <c r="BE198" s="1"/>
    </row>
    <row r="199" spans="2:57">
      <c r="B199" t="str">
        <f t="shared" si="2"/>
        <v>ID/OD(mm): 150/225, C/C0(kN): 92.3/98</v>
      </c>
      <c r="C199" s="101">
        <v>150</v>
      </c>
      <c r="D199" s="101">
        <v>225</v>
      </c>
      <c r="E199" s="101">
        <v>24</v>
      </c>
      <c r="F199" s="93">
        <v>92.3</v>
      </c>
      <c r="G199" s="101">
        <v>98</v>
      </c>
      <c r="H199" s="101">
        <v>3.05</v>
      </c>
      <c r="I199" s="101">
        <v>6000</v>
      </c>
      <c r="J199" s="101">
        <v>3800</v>
      </c>
      <c r="K199" s="1">
        <v>3.15</v>
      </c>
      <c r="L199" s="1" t="s">
        <v>1095</v>
      </c>
      <c r="N199" s="1">
        <v>169</v>
      </c>
      <c r="O199" s="1">
        <v>191</v>
      </c>
      <c r="P199" s="1" t="s">
        <v>704</v>
      </c>
      <c r="Q199" s="1">
        <v>2</v>
      </c>
      <c r="R199" s="1">
        <v>159</v>
      </c>
      <c r="S199" s="1">
        <v>201</v>
      </c>
      <c r="T199" s="1">
        <v>2</v>
      </c>
      <c r="U199" s="1">
        <v>0.02</v>
      </c>
      <c r="V199" s="1">
        <v>16</v>
      </c>
      <c r="BE199" s="1"/>
    </row>
    <row r="200" spans="2:57">
      <c r="B200" t="str">
        <f t="shared" si="2"/>
        <v>ID/OD(mm): 160/220, C/C0(kN): 92.3/98</v>
      </c>
      <c r="C200" s="101">
        <v>160</v>
      </c>
      <c r="D200" s="101">
        <v>220</v>
      </c>
      <c r="E200" s="101">
        <v>28</v>
      </c>
      <c r="F200" s="93">
        <v>92.3</v>
      </c>
      <c r="G200" s="101">
        <v>98</v>
      </c>
      <c r="H200" s="101">
        <v>3.05</v>
      </c>
      <c r="I200" s="101">
        <v>6000</v>
      </c>
      <c r="J200" s="101">
        <v>3800</v>
      </c>
      <c r="K200" s="1">
        <v>2.7</v>
      </c>
      <c r="L200" s="1" t="s">
        <v>1096</v>
      </c>
      <c r="M200" s="1">
        <v>160</v>
      </c>
      <c r="N200" s="1">
        <v>172</v>
      </c>
      <c r="O200" s="1">
        <v>188</v>
      </c>
      <c r="P200" s="1" t="s">
        <v>704</v>
      </c>
      <c r="Q200" s="1">
        <v>1.1000000000000001</v>
      </c>
      <c r="R200" s="1">
        <v>166</v>
      </c>
      <c r="S200" s="1">
        <v>194</v>
      </c>
      <c r="T200" s="1">
        <v>1</v>
      </c>
      <c r="U200" s="1">
        <v>1.4999999999999999E-2</v>
      </c>
      <c r="V200" s="1">
        <v>17</v>
      </c>
      <c r="BE200" s="1"/>
    </row>
    <row r="201" spans="2:57">
      <c r="B201" t="str">
        <f t="shared" si="2"/>
        <v>ID/OD(mm): 160/220, C/C0(kN): 92.3/98</v>
      </c>
      <c r="C201" s="101">
        <v>160</v>
      </c>
      <c r="D201" s="101">
        <v>220</v>
      </c>
      <c r="E201" s="101">
        <v>28</v>
      </c>
      <c r="F201" s="93">
        <v>92.3</v>
      </c>
      <c r="G201" s="101">
        <v>98</v>
      </c>
      <c r="H201" s="101">
        <v>3.05</v>
      </c>
      <c r="I201" s="101">
        <v>6000</v>
      </c>
      <c r="J201" s="101">
        <v>5000</v>
      </c>
      <c r="K201" s="1">
        <v>3.2</v>
      </c>
      <c r="L201" s="1" t="s">
        <v>1097</v>
      </c>
      <c r="N201" s="1">
        <v>179</v>
      </c>
      <c r="O201" s="1">
        <v>201</v>
      </c>
      <c r="P201" s="1" t="s">
        <v>704</v>
      </c>
      <c r="Q201" s="1">
        <v>2</v>
      </c>
      <c r="R201" s="1">
        <v>169</v>
      </c>
      <c r="S201" s="1">
        <v>211</v>
      </c>
      <c r="T201" s="1">
        <v>2</v>
      </c>
      <c r="U201" s="1">
        <v>0.02</v>
      </c>
      <c r="V201" s="1">
        <v>17</v>
      </c>
      <c r="BE201" s="1"/>
    </row>
    <row r="202" spans="2:57">
      <c r="B202" t="str">
        <f t="shared" si="2"/>
        <v>ID/OD(mm): 170/230, C/C0(kN): 93.6/106</v>
      </c>
      <c r="C202" s="101">
        <v>170</v>
      </c>
      <c r="D202" s="101">
        <v>230</v>
      </c>
      <c r="E202" s="101">
        <v>28</v>
      </c>
      <c r="F202" s="93">
        <v>93.6</v>
      </c>
      <c r="G202" s="101">
        <v>106</v>
      </c>
      <c r="H202" s="101">
        <v>3.15</v>
      </c>
      <c r="I202" s="101">
        <v>5600</v>
      </c>
      <c r="J202" s="101">
        <v>4800</v>
      </c>
      <c r="K202" s="1">
        <v>3.4</v>
      </c>
      <c r="L202" s="1" t="s">
        <v>1098</v>
      </c>
      <c r="M202" s="1">
        <v>170</v>
      </c>
      <c r="N202" s="1">
        <v>184</v>
      </c>
      <c r="O202" s="1">
        <v>202</v>
      </c>
      <c r="P202" s="1" t="s">
        <v>704</v>
      </c>
      <c r="Q202" s="1">
        <v>1.1000000000000001</v>
      </c>
      <c r="R202" s="1">
        <v>176</v>
      </c>
      <c r="S202" s="1">
        <v>209</v>
      </c>
      <c r="T202" s="1">
        <v>1</v>
      </c>
      <c r="U202" s="1">
        <v>1.4999999999999999E-2</v>
      </c>
      <c r="V202" s="1">
        <v>17</v>
      </c>
      <c r="BE202" s="1"/>
    </row>
    <row r="203" spans="2:57">
      <c r="B203" t="str">
        <f t="shared" si="2"/>
        <v>ID/OD(mm): 65/140, C/C0(kN): 97.5/60</v>
      </c>
      <c r="C203" s="101">
        <v>65</v>
      </c>
      <c r="D203" s="101">
        <v>140</v>
      </c>
      <c r="E203" s="101">
        <v>33</v>
      </c>
      <c r="F203" s="93">
        <v>97.5</v>
      </c>
      <c r="G203" s="101">
        <v>60</v>
      </c>
      <c r="H203" s="101">
        <v>2.5</v>
      </c>
      <c r="I203" s="101">
        <v>10000</v>
      </c>
      <c r="J203" s="101">
        <v>6700</v>
      </c>
      <c r="K203" s="1">
        <v>2.1</v>
      </c>
      <c r="L203" s="1" t="s">
        <v>1099</v>
      </c>
      <c r="N203" s="1">
        <v>83.3</v>
      </c>
      <c r="O203" s="1">
        <v>103</v>
      </c>
      <c r="P203" s="1">
        <v>106</v>
      </c>
      <c r="Q203" s="1">
        <v>1.5</v>
      </c>
      <c r="R203" s="1">
        <v>74</v>
      </c>
      <c r="S203" s="1">
        <v>111</v>
      </c>
      <c r="T203" s="1">
        <v>1.5</v>
      </c>
      <c r="U203" s="1">
        <v>2.5000000000000001E-2</v>
      </c>
      <c r="V203" s="1">
        <v>15</v>
      </c>
      <c r="BE203" s="1"/>
    </row>
    <row r="204" spans="2:57">
      <c r="B204" t="str">
        <f t="shared" si="2"/>
        <v>ID/OD(mm): 160/240, C/C0(kN): 99.5/108</v>
      </c>
      <c r="C204" s="101">
        <v>160</v>
      </c>
      <c r="D204" s="101">
        <v>240</v>
      </c>
      <c r="E204" s="101">
        <v>25</v>
      </c>
      <c r="F204" s="93">
        <v>99.5</v>
      </c>
      <c r="G204" s="101">
        <v>108</v>
      </c>
      <c r="H204" s="101">
        <v>3.25</v>
      </c>
      <c r="I204" s="101">
        <v>5600</v>
      </c>
      <c r="J204" s="101">
        <v>3600</v>
      </c>
      <c r="K204" s="1">
        <v>3.65</v>
      </c>
      <c r="L204" s="1" t="s">
        <v>1100</v>
      </c>
      <c r="N204" s="1">
        <v>179</v>
      </c>
      <c r="O204" s="1">
        <v>202</v>
      </c>
      <c r="P204" s="1" t="s">
        <v>704</v>
      </c>
      <c r="Q204" s="1">
        <v>2</v>
      </c>
      <c r="R204" s="1">
        <v>169</v>
      </c>
      <c r="S204" s="1">
        <v>211</v>
      </c>
      <c r="T204" s="1">
        <v>2</v>
      </c>
      <c r="U204" s="1">
        <v>0.02</v>
      </c>
      <c r="V204" s="1">
        <v>17</v>
      </c>
      <c r="BE204" s="1"/>
    </row>
    <row r="205" spans="2:57">
      <c r="B205" t="str">
        <f t="shared" si="2"/>
        <v>ID/OD(mm): 55/140, C/C0(kN): 99.5/62</v>
      </c>
      <c r="C205" s="101">
        <v>55</v>
      </c>
      <c r="D205" s="101">
        <v>140</v>
      </c>
      <c r="E205" s="101">
        <v>33</v>
      </c>
      <c r="F205" s="93">
        <v>99.5</v>
      </c>
      <c r="G205" s="101">
        <v>62</v>
      </c>
      <c r="H205" s="101">
        <v>2.6</v>
      </c>
      <c r="I205" s="101">
        <v>11000</v>
      </c>
      <c r="J205" s="101">
        <v>7000</v>
      </c>
      <c r="K205" s="1">
        <v>2.35</v>
      </c>
      <c r="L205" s="1" t="s">
        <v>1101</v>
      </c>
      <c r="N205" s="1">
        <v>75.3</v>
      </c>
      <c r="O205" s="1">
        <v>99.5</v>
      </c>
      <c r="P205" s="1">
        <v>104</v>
      </c>
      <c r="Q205" s="1">
        <v>2</v>
      </c>
      <c r="R205" s="1">
        <v>66</v>
      </c>
      <c r="S205" s="1">
        <v>109</v>
      </c>
      <c r="T205" s="1">
        <v>2</v>
      </c>
      <c r="U205" s="1">
        <v>0.03</v>
      </c>
      <c r="V205" s="1">
        <v>13</v>
      </c>
      <c r="BE205" s="1"/>
    </row>
    <row r="206" spans="2:57">
      <c r="B206" t="str">
        <f t="shared" ref="B206:B260" si="3">CONCATENATE("ID/OD(mm): ",C206,"/",D206,", C/C0(kN): ",F206,"/",G206)</f>
        <v>ID/OD(mm): 90/160, C/C0(kN): 101/73.5</v>
      </c>
      <c r="C206" s="101">
        <v>90</v>
      </c>
      <c r="D206" s="101">
        <v>160</v>
      </c>
      <c r="E206" s="101">
        <v>30</v>
      </c>
      <c r="F206" s="93">
        <v>101</v>
      </c>
      <c r="G206" s="101">
        <v>73.5</v>
      </c>
      <c r="H206" s="101">
        <v>2.8</v>
      </c>
      <c r="I206" s="101">
        <v>8500</v>
      </c>
      <c r="J206" s="101">
        <v>5300</v>
      </c>
      <c r="K206" s="1">
        <v>2.2000000000000002</v>
      </c>
      <c r="L206" s="1" t="s">
        <v>1102</v>
      </c>
      <c r="N206" s="1">
        <v>105</v>
      </c>
      <c r="O206" s="1">
        <v>125</v>
      </c>
      <c r="P206" s="1">
        <v>129</v>
      </c>
      <c r="Q206" s="1">
        <v>1.5</v>
      </c>
      <c r="R206" s="1">
        <v>97</v>
      </c>
      <c r="S206" s="1">
        <v>133</v>
      </c>
      <c r="T206" s="1">
        <v>1.5</v>
      </c>
      <c r="U206" s="1">
        <v>2.5000000000000001E-2</v>
      </c>
      <c r="V206" s="1">
        <v>16</v>
      </c>
      <c r="BE206" s="1"/>
    </row>
    <row r="207" spans="2:57">
      <c r="B207" t="str">
        <f t="shared" si="3"/>
        <v>ID/OD(mm): 60/150, C/C0(kN): 108/69.5</v>
      </c>
      <c r="C207" s="101">
        <v>60</v>
      </c>
      <c r="D207" s="101">
        <v>150</v>
      </c>
      <c r="E207" s="101">
        <v>35</v>
      </c>
      <c r="F207" s="93">
        <v>108</v>
      </c>
      <c r="G207" s="101">
        <v>69.5</v>
      </c>
      <c r="H207" s="101">
        <v>2.9</v>
      </c>
      <c r="I207" s="101">
        <v>10000</v>
      </c>
      <c r="J207" s="101">
        <v>6300</v>
      </c>
      <c r="K207" s="1">
        <v>2.85</v>
      </c>
      <c r="L207" s="1" t="s">
        <v>1103</v>
      </c>
      <c r="N207" s="1">
        <v>81.8</v>
      </c>
      <c r="O207" s="1">
        <v>108</v>
      </c>
      <c r="P207" s="1">
        <v>113</v>
      </c>
      <c r="Q207" s="1">
        <v>2.1</v>
      </c>
      <c r="R207" s="1">
        <v>72</v>
      </c>
      <c r="S207" s="1">
        <v>118</v>
      </c>
      <c r="T207" s="1">
        <v>2</v>
      </c>
      <c r="U207" s="1">
        <v>0.03</v>
      </c>
      <c r="V207" s="1">
        <v>13</v>
      </c>
      <c r="BE207" s="1"/>
    </row>
    <row r="208" spans="2:57">
      <c r="B208" t="str">
        <f t="shared" si="3"/>
        <v>ID/OD(mm): 140/210, C/C0(kN): 111/108</v>
      </c>
      <c r="C208" s="101">
        <v>140</v>
      </c>
      <c r="D208" s="101">
        <v>210</v>
      </c>
      <c r="E208" s="101">
        <v>33</v>
      </c>
      <c r="F208" s="93">
        <v>111</v>
      </c>
      <c r="G208" s="101">
        <v>108</v>
      </c>
      <c r="H208" s="101">
        <v>3.45</v>
      </c>
      <c r="I208" s="101">
        <v>6700</v>
      </c>
      <c r="J208" s="101">
        <v>4000</v>
      </c>
      <c r="K208" s="1">
        <v>3.45</v>
      </c>
      <c r="L208" s="1" t="s">
        <v>1104</v>
      </c>
      <c r="N208" s="1">
        <v>163</v>
      </c>
      <c r="O208" s="1">
        <v>186</v>
      </c>
      <c r="P208" s="1" t="s">
        <v>704</v>
      </c>
      <c r="Q208" s="1">
        <v>1.1000000000000001</v>
      </c>
      <c r="R208" s="1">
        <v>146</v>
      </c>
      <c r="S208" s="1">
        <v>204</v>
      </c>
      <c r="T208" s="1">
        <v>1</v>
      </c>
      <c r="U208" s="1">
        <v>0.02</v>
      </c>
      <c r="V208" s="1">
        <v>17</v>
      </c>
      <c r="BE208" s="1"/>
    </row>
    <row r="209" spans="2:57">
      <c r="B209" t="str">
        <f t="shared" si="3"/>
        <v>ID/OD(mm): 70/150, C/C0(kN): 111/68</v>
      </c>
      <c r="C209" s="101">
        <v>70</v>
      </c>
      <c r="D209" s="101">
        <v>150</v>
      </c>
      <c r="E209" s="101">
        <v>35</v>
      </c>
      <c r="F209" s="93">
        <v>111</v>
      </c>
      <c r="G209" s="101">
        <v>68</v>
      </c>
      <c r="H209" s="101">
        <v>2.75</v>
      </c>
      <c r="I209" s="101">
        <v>9500</v>
      </c>
      <c r="J209" s="101">
        <v>6300</v>
      </c>
      <c r="K209" s="1">
        <v>2.5499999999999998</v>
      </c>
      <c r="L209" s="1" t="s">
        <v>1105</v>
      </c>
      <c r="N209" s="1">
        <v>87</v>
      </c>
      <c r="O209" s="1">
        <v>108</v>
      </c>
      <c r="P209" s="1">
        <v>111</v>
      </c>
      <c r="Q209" s="1">
        <v>1.5</v>
      </c>
      <c r="R209" s="1">
        <v>79</v>
      </c>
      <c r="S209" s="1">
        <v>116</v>
      </c>
      <c r="T209" s="1">
        <v>1.5</v>
      </c>
      <c r="U209" s="1">
        <v>2.5000000000000001E-2</v>
      </c>
      <c r="V209" s="1">
        <v>15</v>
      </c>
      <c r="BE209" s="1"/>
    </row>
    <row r="210" spans="2:57">
      <c r="B210" t="str">
        <f t="shared" si="3"/>
        <v>ID/OD(mm): 130/200, C/C0(kN): 112/100</v>
      </c>
      <c r="C210" s="101">
        <v>130</v>
      </c>
      <c r="D210" s="101">
        <v>200</v>
      </c>
      <c r="E210" s="101">
        <v>33</v>
      </c>
      <c r="F210" s="93">
        <v>112</v>
      </c>
      <c r="G210" s="101">
        <v>100</v>
      </c>
      <c r="H210" s="101">
        <v>3.35</v>
      </c>
      <c r="I210" s="101">
        <v>7000</v>
      </c>
      <c r="J210" s="101">
        <v>4300</v>
      </c>
      <c r="K210" s="1">
        <v>3.25</v>
      </c>
      <c r="L210" s="1" t="s">
        <v>1106</v>
      </c>
      <c r="N210" s="1">
        <v>153</v>
      </c>
      <c r="O210" s="1">
        <v>176</v>
      </c>
      <c r="P210" s="1" t="s">
        <v>704</v>
      </c>
      <c r="Q210" s="1">
        <v>1.1000000000000001</v>
      </c>
      <c r="R210" s="1">
        <v>136</v>
      </c>
      <c r="S210" s="1">
        <v>192</v>
      </c>
      <c r="T210" s="1">
        <v>1</v>
      </c>
      <c r="U210" s="1">
        <v>0.02</v>
      </c>
      <c r="V210" s="1">
        <v>16</v>
      </c>
      <c r="BE210" s="1"/>
    </row>
    <row r="211" spans="2:57">
      <c r="B211" t="str">
        <f t="shared" si="3"/>
        <v>ID/OD(mm): 95/170, C/C0(kN): 114/81.5</v>
      </c>
      <c r="C211" s="101">
        <v>95</v>
      </c>
      <c r="D211" s="101">
        <v>170</v>
      </c>
      <c r="E211" s="101">
        <v>32</v>
      </c>
      <c r="F211" s="93">
        <v>114</v>
      </c>
      <c r="G211" s="101">
        <v>81.5</v>
      </c>
      <c r="H211" s="101">
        <v>3</v>
      </c>
      <c r="I211" s="101">
        <v>8000</v>
      </c>
      <c r="J211" s="101">
        <v>5000</v>
      </c>
      <c r="K211" s="1">
        <v>2.65</v>
      </c>
      <c r="L211" s="1" t="s">
        <v>1107</v>
      </c>
      <c r="N211" s="1">
        <v>111</v>
      </c>
      <c r="O211" s="1">
        <v>130</v>
      </c>
      <c r="P211" s="1">
        <v>134</v>
      </c>
      <c r="Q211" s="1">
        <v>1.5</v>
      </c>
      <c r="R211" s="1">
        <v>102</v>
      </c>
      <c r="S211" s="1">
        <v>138</v>
      </c>
      <c r="T211" s="1">
        <v>1.5</v>
      </c>
      <c r="U211" s="1">
        <v>2.5000000000000001E-2</v>
      </c>
      <c r="V211" s="1">
        <v>16</v>
      </c>
      <c r="BE211" s="1"/>
    </row>
    <row r="212" spans="2:57">
      <c r="B212" t="str">
        <f t="shared" si="3"/>
        <v>ID/OD(mm): 170/260, C/C0(kN): 119/129</v>
      </c>
      <c r="C212" s="101">
        <v>170</v>
      </c>
      <c r="D212" s="101">
        <v>260</v>
      </c>
      <c r="E212" s="101">
        <v>28</v>
      </c>
      <c r="F212" s="93">
        <v>119</v>
      </c>
      <c r="G212" s="101">
        <v>129</v>
      </c>
      <c r="H212" s="101">
        <v>3.75</v>
      </c>
      <c r="I212" s="101">
        <v>5300</v>
      </c>
      <c r="J212" s="101">
        <v>3200</v>
      </c>
      <c r="K212" s="1">
        <v>5</v>
      </c>
      <c r="L212" s="1" t="s">
        <v>1108</v>
      </c>
      <c r="N212" s="1">
        <v>189</v>
      </c>
      <c r="O212" s="1">
        <v>212</v>
      </c>
      <c r="P212" s="1" t="s">
        <v>704</v>
      </c>
      <c r="Q212" s="1">
        <v>2</v>
      </c>
      <c r="R212" s="1">
        <v>179</v>
      </c>
      <c r="S212" s="1">
        <v>221</v>
      </c>
      <c r="T212" s="1">
        <v>2</v>
      </c>
      <c r="U212" s="1">
        <v>0.02</v>
      </c>
      <c r="V212" s="1">
        <v>17</v>
      </c>
      <c r="BE212" s="1"/>
    </row>
    <row r="213" spans="2:57">
      <c r="B213" t="str">
        <f t="shared" si="3"/>
        <v>ID/OD(mm): 180/250, C/C0(kN): 119/134</v>
      </c>
      <c r="C213" s="101">
        <v>180</v>
      </c>
      <c r="D213" s="101">
        <v>250</v>
      </c>
      <c r="E213" s="101">
        <v>33</v>
      </c>
      <c r="F213" s="93">
        <v>119</v>
      </c>
      <c r="G213" s="101">
        <v>134</v>
      </c>
      <c r="H213" s="101">
        <v>3.9</v>
      </c>
      <c r="I213" s="101">
        <v>5300</v>
      </c>
      <c r="J213" s="101">
        <v>3200</v>
      </c>
      <c r="K213" s="1">
        <v>5</v>
      </c>
      <c r="L213" s="1" t="s">
        <v>1109</v>
      </c>
      <c r="M213" s="1">
        <v>180</v>
      </c>
      <c r="N213" s="1">
        <v>194</v>
      </c>
      <c r="O213" s="1">
        <v>211</v>
      </c>
      <c r="P213" s="1" t="s">
        <v>704</v>
      </c>
      <c r="Q213" s="1">
        <v>1.1000000000000001</v>
      </c>
      <c r="R213" s="1">
        <v>186</v>
      </c>
      <c r="S213" s="1">
        <v>219</v>
      </c>
      <c r="T213" s="1">
        <v>1</v>
      </c>
      <c r="U213" s="1">
        <v>1.4999999999999999E-2</v>
      </c>
      <c r="V213" s="1">
        <v>17</v>
      </c>
      <c r="BE213" s="1"/>
    </row>
    <row r="214" spans="2:57">
      <c r="B214" t="str">
        <f t="shared" si="3"/>
        <v>ID/OD(mm): 180/250, C/C0(kN): 119/134</v>
      </c>
      <c r="C214" s="101">
        <v>180</v>
      </c>
      <c r="D214" s="101">
        <v>250</v>
      </c>
      <c r="E214" s="101">
        <v>33</v>
      </c>
      <c r="F214" s="93">
        <v>119</v>
      </c>
      <c r="G214" s="101">
        <v>134</v>
      </c>
      <c r="H214" s="101">
        <v>3.9</v>
      </c>
      <c r="I214" s="101">
        <v>5300</v>
      </c>
      <c r="J214" s="101">
        <v>4300</v>
      </c>
      <c r="K214" s="1">
        <v>5</v>
      </c>
      <c r="L214" s="1" t="s">
        <v>1110</v>
      </c>
      <c r="N214" s="1">
        <v>202</v>
      </c>
      <c r="O214" s="1">
        <v>228</v>
      </c>
      <c r="P214" s="1" t="s">
        <v>704</v>
      </c>
      <c r="Q214" s="1">
        <v>2</v>
      </c>
      <c r="R214" s="1">
        <v>189</v>
      </c>
      <c r="S214" s="1">
        <v>241</v>
      </c>
      <c r="T214" s="1">
        <v>2</v>
      </c>
      <c r="U214" s="1">
        <v>0.02</v>
      </c>
      <c r="V214" s="1">
        <v>17</v>
      </c>
      <c r="BE214" s="1"/>
    </row>
    <row r="215" spans="2:57">
      <c r="B215" t="str">
        <f t="shared" si="3"/>
        <v>ID/OD(mm): 65/160, C/C0(kN): 119/78</v>
      </c>
      <c r="C215" s="101">
        <v>65</v>
      </c>
      <c r="D215" s="101">
        <v>160</v>
      </c>
      <c r="E215" s="101">
        <v>37</v>
      </c>
      <c r="F215" s="93">
        <v>119</v>
      </c>
      <c r="G215" s="101">
        <v>78</v>
      </c>
      <c r="H215" s="101">
        <v>3.15</v>
      </c>
      <c r="I215" s="101">
        <v>9500</v>
      </c>
      <c r="J215" s="101">
        <v>6000</v>
      </c>
      <c r="K215" s="1">
        <v>3.35</v>
      </c>
      <c r="L215" s="1" t="s">
        <v>1111</v>
      </c>
      <c r="N215" s="1">
        <v>88.3</v>
      </c>
      <c r="O215" s="1">
        <v>117</v>
      </c>
      <c r="P215" s="1">
        <v>122</v>
      </c>
      <c r="Q215" s="1">
        <v>2.1</v>
      </c>
      <c r="R215" s="1">
        <v>77</v>
      </c>
      <c r="S215" s="1">
        <v>128</v>
      </c>
      <c r="T215" s="1">
        <v>2</v>
      </c>
      <c r="U215" s="1">
        <v>0.03</v>
      </c>
      <c r="V215" s="1">
        <v>13</v>
      </c>
      <c r="BE215" s="1"/>
    </row>
    <row r="216" spans="2:57">
      <c r="B216" t="str">
        <f t="shared" si="3"/>
        <v>ID/OD(mm): 75/160, C/C0(kN): 119/76.5</v>
      </c>
      <c r="C216" s="101">
        <v>75</v>
      </c>
      <c r="D216" s="101">
        <v>160</v>
      </c>
      <c r="E216" s="101">
        <v>37</v>
      </c>
      <c r="F216" s="93">
        <v>119</v>
      </c>
      <c r="G216" s="101">
        <v>76.5</v>
      </c>
      <c r="H216" s="101">
        <v>3</v>
      </c>
      <c r="I216" s="101">
        <v>9000</v>
      </c>
      <c r="J216" s="101">
        <v>5600</v>
      </c>
      <c r="K216" s="1">
        <v>3.05</v>
      </c>
      <c r="L216" s="1" t="s">
        <v>1112</v>
      </c>
      <c r="N216" s="1">
        <v>92</v>
      </c>
      <c r="O216" s="1">
        <v>113</v>
      </c>
      <c r="P216" s="1">
        <v>117</v>
      </c>
      <c r="Q216" s="1">
        <v>1.5</v>
      </c>
      <c r="R216" s="1">
        <v>84</v>
      </c>
      <c r="S216" s="1">
        <v>121</v>
      </c>
      <c r="T216" s="1">
        <v>1.5</v>
      </c>
      <c r="U216" s="1">
        <v>2.5000000000000001E-2</v>
      </c>
      <c r="V216" s="1">
        <v>15</v>
      </c>
      <c r="BE216" s="1"/>
    </row>
    <row r="217" spans="2:57">
      <c r="B217" t="str">
        <f t="shared" si="3"/>
        <v>ID/OD(mm): 150/225, C/C0(kN): 125/125</v>
      </c>
      <c r="C217" s="101">
        <v>150</v>
      </c>
      <c r="D217" s="101">
        <v>225</v>
      </c>
      <c r="E217" s="101">
        <v>35</v>
      </c>
      <c r="F217" s="93">
        <v>125</v>
      </c>
      <c r="G217" s="101">
        <v>125</v>
      </c>
      <c r="H217" s="101">
        <v>3.9</v>
      </c>
      <c r="I217" s="101">
        <v>6000</v>
      </c>
      <c r="J217" s="101">
        <v>3800</v>
      </c>
      <c r="K217" s="1">
        <v>4.3</v>
      </c>
      <c r="L217" s="1" t="s">
        <v>1113</v>
      </c>
      <c r="N217" s="1">
        <v>174</v>
      </c>
      <c r="O217" s="1">
        <v>200</v>
      </c>
      <c r="P217" s="1" t="s">
        <v>704</v>
      </c>
      <c r="Q217" s="1">
        <v>1.1000000000000001</v>
      </c>
      <c r="R217" s="1">
        <v>156</v>
      </c>
      <c r="S217" s="1">
        <v>219</v>
      </c>
      <c r="T217" s="1">
        <v>1</v>
      </c>
      <c r="U217" s="1">
        <v>0.02</v>
      </c>
      <c r="V217" s="1">
        <v>17</v>
      </c>
      <c r="BE217" s="1"/>
    </row>
    <row r="218" spans="2:57">
      <c r="B218" t="str">
        <f t="shared" si="3"/>
        <v>ID/OD(mm): 100/180, C/C0(kN): 127/93</v>
      </c>
      <c r="C218" s="101">
        <v>100</v>
      </c>
      <c r="D218" s="101">
        <v>180</v>
      </c>
      <c r="E218" s="101">
        <v>34</v>
      </c>
      <c r="F218" s="93">
        <v>127</v>
      </c>
      <c r="G218" s="101">
        <v>93</v>
      </c>
      <c r="H218" s="101">
        <v>3.35</v>
      </c>
      <c r="I218" s="101">
        <v>7500</v>
      </c>
      <c r="J218" s="101">
        <v>4800</v>
      </c>
      <c r="K218" s="1">
        <v>3.15</v>
      </c>
      <c r="L218" s="1" t="s">
        <v>1114</v>
      </c>
      <c r="N218" s="1">
        <v>115</v>
      </c>
      <c r="O218" s="1">
        <v>135</v>
      </c>
      <c r="P218" s="1">
        <v>139</v>
      </c>
      <c r="Q218" s="1">
        <v>1.5</v>
      </c>
      <c r="R218" s="1">
        <v>107</v>
      </c>
      <c r="S218" s="1">
        <v>143</v>
      </c>
      <c r="T218" s="1">
        <v>1.5</v>
      </c>
      <c r="U218" s="1">
        <v>2.5000000000000001E-2</v>
      </c>
      <c r="V218" s="1">
        <v>16</v>
      </c>
      <c r="BE218" s="1"/>
    </row>
    <row r="219" spans="2:57">
      <c r="B219" t="str">
        <f t="shared" si="3"/>
        <v>ID/OD(mm): 80/170, C/C0(kN): 130/86.5</v>
      </c>
      <c r="C219" s="101">
        <v>80</v>
      </c>
      <c r="D219" s="101">
        <v>170</v>
      </c>
      <c r="E219" s="101">
        <v>39</v>
      </c>
      <c r="F219" s="93">
        <v>130</v>
      </c>
      <c r="G219" s="101">
        <v>86.5</v>
      </c>
      <c r="H219" s="101">
        <v>3.25</v>
      </c>
      <c r="I219" s="101">
        <v>8500</v>
      </c>
      <c r="J219" s="101">
        <v>5300</v>
      </c>
      <c r="K219" s="1">
        <v>3.65</v>
      </c>
      <c r="L219" s="1" t="s">
        <v>1115</v>
      </c>
      <c r="N219" s="1">
        <v>101</v>
      </c>
      <c r="O219" s="1">
        <v>123</v>
      </c>
      <c r="P219" s="1">
        <v>127</v>
      </c>
      <c r="Q219" s="1">
        <v>2</v>
      </c>
      <c r="R219" s="1">
        <v>91</v>
      </c>
      <c r="S219" s="1">
        <v>129</v>
      </c>
      <c r="T219" s="1">
        <v>2</v>
      </c>
      <c r="U219" s="1">
        <v>2.5000000000000001E-2</v>
      </c>
      <c r="V219" s="1">
        <v>15</v>
      </c>
      <c r="BE219" s="1"/>
    </row>
    <row r="220" spans="2:57">
      <c r="B220" t="str">
        <f t="shared" si="3"/>
        <v>ID/OD(mm): 180/280, C/C0(kN): 138/146</v>
      </c>
      <c r="C220" s="101">
        <v>180</v>
      </c>
      <c r="D220" s="101">
        <v>280</v>
      </c>
      <c r="E220" s="101">
        <v>31</v>
      </c>
      <c r="F220" s="93">
        <v>138</v>
      </c>
      <c r="G220" s="101">
        <v>146</v>
      </c>
      <c r="H220" s="101">
        <v>4.1500000000000004</v>
      </c>
      <c r="I220" s="101">
        <v>4800</v>
      </c>
      <c r="J220" s="101">
        <v>3000</v>
      </c>
      <c r="K220" s="1">
        <v>6.5</v>
      </c>
      <c r="L220" s="1" t="s">
        <v>1116</v>
      </c>
      <c r="N220" s="1">
        <v>202</v>
      </c>
      <c r="O220" s="1">
        <v>229</v>
      </c>
      <c r="P220" s="1" t="s">
        <v>704</v>
      </c>
      <c r="Q220" s="1">
        <v>2</v>
      </c>
      <c r="R220" s="1">
        <v>189</v>
      </c>
      <c r="S220" s="1">
        <v>241</v>
      </c>
      <c r="T220" s="1">
        <v>2</v>
      </c>
      <c r="U220" s="1">
        <v>0.02</v>
      </c>
      <c r="V220" s="1">
        <v>17</v>
      </c>
      <c r="BE220" s="1"/>
    </row>
    <row r="221" spans="2:57">
      <c r="B221" t="str">
        <f t="shared" si="3"/>
        <v>ID/OD(mm): 105/190, C/C0(kN): 140/104</v>
      </c>
      <c r="C221" s="101">
        <v>105</v>
      </c>
      <c r="D221" s="101">
        <v>190</v>
      </c>
      <c r="E221" s="101">
        <v>36</v>
      </c>
      <c r="F221" s="93">
        <v>140</v>
      </c>
      <c r="G221" s="101">
        <v>104</v>
      </c>
      <c r="H221" s="101">
        <v>3.65</v>
      </c>
      <c r="I221" s="101">
        <v>7000</v>
      </c>
      <c r="J221" s="101">
        <v>4500</v>
      </c>
      <c r="K221" s="1">
        <v>3.8</v>
      </c>
      <c r="L221" s="1" t="s">
        <v>1117</v>
      </c>
      <c r="N221" s="1">
        <v>122</v>
      </c>
      <c r="O221" s="1">
        <v>143</v>
      </c>
      <c r="P221" s="1">
        <v>147</v>
      </c>
      <c r="Q221" s="1">
        <v>2</v>
      </c>
      <c r="R221" s="1">
        <v>116</v>
      </c>
      <c r="S221" s="1">
        <v>149</v>
      </c>
      <c r="T221" s="1">
        <v>2</v>
      </c>
      <c r="U221" s="1">
        <v>2.5000000000000001E-2</v>
      </c>
      <c r="V221" s="1">
        <v>16</v>
      </c>
      <c r="BE221" s="1"/>
    </row>
    <row r="222" spans="2:57">
      <c r="B222" t="str">
        <f t="shared" si="3"/>
        <v>ID/OD(mm): 85/180, C/C0(kN): 140/96.5</v>
      </c>
      <c r="C222" s="101">
        <v>85</v>
      </c>
      <c r="D222" s="101">
        <v>180</v>
      </c>
      <c r="E222" s="101">
        <v>41</v>
      </c>
      <c r="F222" s="93">
        <v>140</v>
      </c>
      <c r="G222" s="101">
        <v>96.5</v>
      </c>
      <c r="H222" s="101">
        <v>3.55</v>
      </c>
      <c r="I222" s="101">
        <v>8000</v>
      </c>
      <c r="J222" s="101">
        <v>5000</v>
      </c>
      <c r="K222" s="1">
        <v>4.25</v>
      </c>
      <c r="L222" s="1" t="s">
        <v>1118</v>
      </c>
      <c r="N222" s="1">
        <v>106</v>
      </c>
      <c r="O222" s="1">
        <v>130</v>
      </c>
      <c r="P222" s="1">
        <v>135</v>
      </c>
      <c r="Q222" s="1">
        <v>2</v>
      </c>
      <c r="R222" s="1">
        <v>96</v>
      </c>
      <c r="S222" s="1">
        <v>139</v>
      </c>
      <c r="T222" s="1">
        <v>2</v>
      </c>
      <c r="U222" s="1">
        <v>2.5000000000000001E-2</v>
      </c>
      <c r="V222" s="1">
        <v>15</v>
      </c>
      <c r="BE222" s="1"/>
    </row>
    <row r="223" spans="2:57">
      <c r="B223" t="str">
        <f t="shared" si="3"/>
        <v>ID/OD(mm): 160/240, C/C0(kN): 143/143</v>
      </c>
      <c r="C223" s="101">
        <v>160</v>
      </c>
      <c r="D223" s="101">
        <v>240</v>
      </c>
      <c r="E223" s="101">
        <v>38</v>
      </c>
      <c r="F223" s="93">
        <v>143</v>
      </c>
      <c r="G223" s="101">
        <v>143</v>
      </c>
      <c r="H223" s="101">
        <v>4.3</v>
      </c>
      <c r="I223" s="101">
        <v>5600</v>
      </c>
      <c r="J223" s="101">
        <v>3600</v>
      </c>
      <c r="K223" s="1">
        <v>5.2</v>
      </c>
      <c r="L223" s="1" t="s">
        <v>1119</v>
      </c>
      <c r="N223" s="1">
        <v>185</v>
      </c>
      <c r="O223" s="1">
        <v>214</v>
      </c>
      <c r="P223" s="1" t="s">
        <v>704</v>
      </c>
      <c r="Q223" s="1">
        <v>1.5</v>
      </c>
      <c r="R223" s="1">
        <v>167</v>
      </c>
      <c r="S223" s="1">
        <v>233</v>
      </c>
      <c r="T223" s="1">
        <v>1.5</v>
      </c>
      <c r="U223" s="1">
        <v>0.02</v>
      </c>
      <c r="V223" s="1">
        <v>17</v>
      </c>
      <c r="BE223" s="1"/>
    </row>
    <row r="224" spans="2:57">
      <c r="B224" t="str">
        <f t="shared" si="3"/>
        <v>ID/OD(mm): 70/180, C/C0(kN): 143/104</v>
      </c>
      <c r="C224" s="101">
        <v>70</v>
      </c>
      <c r="D224" s="101">
        <v>180</v>
      </c>
      <c r="E224" s="101">
        <v>42</v>
      </c>
      <c r="F224" s="93">
        <v>143</v>
      </c>
      <c r="G224" s="101">
        <v>104</v>
      </c>
      <c r="H224" s="101">
        <v>3.9</v>
      </c>
      <c r="I224" s="101">
        <v>8500</v>
      </c>
      <c r="J224" s="101">
        <v>5300</v>
      </c>
      <c r="K224" s="1">
        <v>4.95</v>
      </c>
      <c r="L224" s="1" t="s">
        <v>1120</v>
      </c>
      <c r="N224" s="1">
        <v>94.9</v>
      </c>
      <c r="O224" s="1">
        <v>125</v>
      </c>
      <c r="P224" s="1">
        <v>130</v>
      </c>
      <c r="Q224" s="1">
        <v>2.1</v>
      </c>
      <c r="R224" s="1">
        <v>82</v>
      </c>
      <c r="S224" s="1">
        <v>138</v>
      </c>
      <c r="T224" s="1">
        <v>2</v>
      </c>
      <c r="U224" s="1">
        <v>0.03</v>
      </c>
      <c r="V224" s="1">
        <v>13</v>
      </c>
      <c r="BE224" s="1"/>
    </row>
    <row r="225" spans="2:57">
      <c r="B225" t="str">
        <f t="shared" si="3"/>
        <v>ID/OD(mm): 120/215, C/C0(kN): 146/118</v>
      </c>
      <c r="C225" s="101">
        <v>120</v>
      </c>
      <c r="D225" s="101">
        <v>215</v>
      </c>
      <c r="E225" s="101">
        <v>40</v>
      </c>
      <c r="F225" s="93">
        <v>146</v>
      </c>
      <c r="G225" s="101">
        <v>118</v>
      </c>
      <c r="H225" s="101">
        <v>3.9</v>
      </c>
      <c r="I225" s="101">
        <v>6300</v>
      </c>
      <c r="J225" s="101">
        <v>4000</v>
      </c>
      <c r="K225" s="1">
        <v>5.25</v>
      </c>
      <c r="L225" s="1" t="s">
        <v>1121</v>
      </c>
      <c r="N225" s="1">
        <v>139</v>
      </c>
      <c r="O225" s="1">
        <v>161</v>
      </c>
      <c r="P225" s="1">
        <v>166</v>
      </c>
      <c r="Q225" s="1">
        <v>2</v>
      </c>
      <c r="R225" s="1">
        <v>129</v>
      </c>
      <c r="S225" s="1">
        <v>171</v>
      </c>
      <c r="T225" s="1">
        <v>2</v>
      </c>
      <c r="U225" s="1">
        <v>2.5000000000000001E-2</v>
      </c>
      <c r="V225" s="1">
        <v>16</v>
      </c>
      <c r="BE225" s="1"/>
    </row>
    <row r="226" spans="2:57">
      <c r="B226" t="str">
        <f t="shared" si="3"/>
        <v>ID/OD(mm): 110/200, C/C0(kN): 151/118</v>
      </c>
      <c r="C226" s="101">
        <v>110</v>
      </c>
      <c r="D226" s="101">
        <v>200</v>
      </c>
      <c r="E226" s="101">
        <v>38</v>
      </c>
      <c r="F226" s="93">
        <v>151</v>
      </c>
      <c r="G226" s="101">
        <v>118</v>
      </c>
      <c r="H226" s="101">
        <v>4</v>
      </c>
      <c r="I226" s="101">
        <v>6700</v>
      </c>
      <c r="J226" s="101">
        <v>4300</v>
      </c>
      <c r="K226" s="1">
        <v>4.45</v>
      </c>
      <c r="L226" s="1" t="s">
        <v>1122</v>
      </c>
      <c r="M226" s="1">
        <v>129</v>
      </c>
      <c r="O226" s="1">
        <v>151</v>
      </c>
      <c r="P226" s="1">
        <v>156</v>
      </c>
      <c r="Q226" s="1">
        <v>2</v>
      </c>
      <c r="R226" s="1">
        <v>119</v>
      </c>
      <c r="S226" s="1">
        <v>161</v>
      </c>
      <c r="T226" s="1">
        <v>2</v>
      </c>
      <c r="U226" s="1">
        <v>2.5000000000000001E-2</v>
      </c>
      <c r="V226" s="1">
        <v>16</v>
      </c>
      <c r="BE226" s="1"/>
    </row>
    <row r="227" spans="2:57">
      <c r="B227" t="str">
        <f t="shared" si="3"/>
        <v>ID/OD(mm): 90/190, C/C0(kN): 151/108</v>
      </c>
      <c r="C227" s="101">
        <v>90</v>
      </c>
      <c r="D227" s="101">
        <v>190</v>
      </c>
      <c r="E227" s="101">
        <v>43</v>
      </c>
      <c r="F227" s="93">
        <v>151</v>
      </c>
      <c r="G227" s="101">
        <v>108</v>
      </c>
      <c r="H227" s="101">
        <v>3.8</v>
      </c>
      <c r="I227" s="101">
        <v>7500</v>
      </c>
      <c r="J227" s="101">
        <v>4800</v>
      </c>
      <c r="K227" s="1">
        <v>4.95</v>
      </c>
      <c r="L227" s="1" t="s">
        <v>1123</v>
      </c>
      <c r="N227" s="1">
        <v>112</v>
      </c>
      <c r="O227" s="1">
        <v>138</v>
      </c>
      <c r="P227" s="1">
        <v>143</v>
      </c>
      <c r="Q227" s="1">
        <v>2</v>
      </c>
      <c r="R227" s="1">
        <v>101</v>
      </c>
      <c r="S227" s="1">
        <v>149</v>
      </c>
      <c r="T227" s="1">
        <v>2</v>
      </c>
      <c r="U227" s="1">
        <v>2.5000000000000001E-2</v>
      </c>
      <c r="V227" s="1">
        <v>15</v>
      </c>
      <c r="BE227" s="1"/>
    </row>
    <row r="228" spans="2:57">
      <c r="B228" t="str">
        <f t="shared" si="3"/>
        <v>ID/OD(mm): 75/190, C/C0(kN): 153/114</v>
      </c>
      <c r="C228" s="101">
        <v>75</v>
      </c>
      <c r="D228" s="101">
        <v>190</v>
      </c>
      <c r="E228" s="101">
        <v>45</v>
      </c>
      <c r="F228" s="93">
        <v>153</v>
      </c>
      <c r="G228" s="101">
        <v>114</v>
      </c>
      <c r="H228" s="101">
        <v>4.1500000000000004</v>
      </c>
      <c r="I228" s="101">
        <v>8000</v>
      </c>
      <c r="J228" s="101">
        <v>5000</v>
      </c>
      <c r="K228" s="1">
        <v>5.8</v>
      </c>
      <c r="L228" s="1" t="s">
        <v>1124</v>
      </c>
      <c r="N228" s="1">
        <v>101</v>
      </c>
      <c r="O228" s="1">
        <v>134</v>
      </c>
      <c r="P228" s="1">
        <v>139</v>
      </c>
      <c r="Q228" s="1">
        <v>2.1</v>
      </c>
      <c r="R228" s="1">
        <v>87</v>
      </c>
      <c r="S228" s="1">
        <v>148</v>
      </c>
      <c r="T228" s="1">
        <v>2</v>
      </c>
      <c r="U228" s="1">
        <v>0.03</v>
      </c>
      <c r="V228" s="1">
        <v>13</v>
      </c>
      <c r="BE228" s="1"/>
    </row>
    <row r="229" spans="2:57">
      <c r="B229" t="str">
        <f t="shared" si="3"/>
        <v>ID/OD(mm): 130/230, C/C0(kN): 156/132</v>
      </c>
      <c r="C229" s="101">
        <v>130</v>
      </c>
      <c r="D229" s="101">
        <v>230</v>
      </c>
      <c r="E229" s="101">
        <v>40</v>
      </c>
      <c r="F229" s="93">
        <v>156</v>
      </c>
      <c r="G229" s="101">
        <v>132</v>
      </c>
      <c r="H229" s="101">
        <v>4.1500000000000004</v>
      </c>
      <c r="I229" s="101">
        <v>5600</v>
      </c>
      <c r="J229" s="101">
        <v>3600</v>
      </c>
      <c r="K229" s="1">
        <v>5.85</v>
      </c>
      <c r="L229" s="1" t="s">
        <v>1125</v>
      </c>
      <c r="N229" s="1">
        <v>152</v>
      </c>
      <c r="O229" s="1">
        <v>177</v>
      </c>
      <c r="P229" s="1">
        <v>182</v>
      </c>
      <c r="Q229" s="1">
        <v>2</v>
      </c>
      <c r="R229" s="1">
        <v>139</v>
      </c>
      <c r="S229" s="1">
        <v>191</v>
      </c>
      <c r="T229" s="1">
        <v>2</v>
      </c>
      <c r="U229" s="1">
        <v>2.5000000000000001E-2</v>
      </c>
      <c r="V229" s="1">
        <v>16</v>
      </c>
      <c r="BE229" s="1"/>
    </row>
    <row r="230" spans="2:57">
      <c r="B230" t="str">
        <f t="shared" si="3"/>
        <v>ID/OD(mm): 95/200, C/C0(kN): 159/118</v>
      </c>
      <c r="C230" s="101">
        <v>95</v>
      </c>
      <c r="D230" s="101">
        <v>200</v>
      </c>
      <c r="E230" s="101">
        <v>45</v>
      </c>
      <c r="F230" s="93">
        <v>159</v>
      </c>
      <c r="G230" s="101">
        <v>118</v>
      </c>
      <c r="H230" s="101">
        <v>4.1500000000000004</v>
      </c>
      <c r="I230" s="101">
        <v>7000</v>
      </c>
      <c r="J230" s="101">
        <v>4500</v>
      </c>
      <c r="K230" s="1">
        <v>5.75</v>
      </c>
      <c r="L230" s="1" t="s">
        <v>1126</v>
      </c>
      <c r="N230" s="1">
        <v>118</v>
      </c>
      <c r="O230" s="1">
        <v>147</v>
      </c>
      <c r="P230" s="1">
        <v>152</v>
      </c>
      <c r="Q230" s="1">
        <v>2.1</v>
      </c>
      <c r="R230" s="1">
        <v>107</v>
      </c>
      <c r="S230" s="1">
        <v>158</v>
      </c>
      <c r="T230" s="1">
        <v>2</v>
      </c>
      <c r="U230" s="1">
        <v>2.5000000000000001E-2</v>
      </c>
      <c r="V230" s="1">
        <v>14</v>
      </c>
      <c r="BE230" s="1"/>
    </row>
    <row r="231" spans="2:57">
      <c r="B231" t="str">
        <f t="shared" si="3"/>
        <v>ID/OD(mm): 80/200, C/C0(kN): 163/125</v>
      </c>
      <c r="C231" s="101">
        <v>80</v>
      </c>
      <c r="D231" s="101">
        <v>200</v>
      </c>
      <c r="E231" s="101">
        <v>48</v>
      </c>
      <c r="F231" s="93">
        <v>163</v>
      </c>
      <c r="G231" s="101">
        <v>125</v>
      </c>
      <c r="H231" s="101">
        <v>4.5</v>
      </c>
      <c r="I231" s="101">
        <v>7500</v>
      </c>
      <c r="J231" s="101">
        <v>4800</v>
      </c>
      <c r="K231" s="1">
        <v>6.85</v>
      </c>
      <c r="L231" s="1" t="s">
        <v>1127</v>
      </c>
      <c r="N231" s="1">
        <v>108</v>
      </c>
      <c r="O231" s="1">
        <v>142</v>
      </c>
      <c r="P231" s="1">
        <v>147</v>
      </c>
      <c r="Q231" s="1">
        <v>2.1</v>
      </c>
      <c r="R231" s="1">
        <v>92</v>
      </c>
      <c r="S231" s="1">
        <v>158</v>
      </c>
      <c r="T231" s="1">
        <v>2</v>
      </c>
      <c r="U231" s="1">
        <v>0.03</v>
      </c>
      <c r="V231" s="1">
        <v>13</v>
      </c>
      <c r="BE231" s="1"/>
    </row>
    <row r="232" spans="2:57">
      <c r="B232" t="str">
        <f t="shared" si="3"/>
        <v>ID/OD(mm): 140/250, C/C0(kN): 165/150</v>
      </c>
      <c r="C232" s="101">
        <v>140</v>
      </c>
      <c r="D232" s="101">
        <v>250</v>
      </c>
      <c r="E232" s="101">
        <v>42</v>
      </c>
      <c r="F232" s="93">
        <v>165</v>
      </c>
      <c r="G232" s="101">
        <v>150</v>
      </c>
      <c r="H232" s="101">
        <v>4.55</v>
      </c>
      <c r="I232" s="101">
        <v>5300</v>
      </c>
      <c r="J232" s="101">
        <v>3400</v>
      </c>
      <c r="K232" s="1">
        <v>7.75</v>
      </c>
      <c r="L232" s="1" t="s">
        <v>1128</v>
      </c>
      <c r="N232" s="1">
        <v>162</v>
      </c>
      <c r="O232" s="1">
        <v>188</v>
      </c>
      <c r="P232" s="1">
        <v>192</v>
      </c>
      <c r="Q232" s="1">
        <v>2</v>
      </c>
      <c r="R232" s="1">
        <v>149</v>
      </c>
      <c r="S232" s="1">
        <v>201</v>
      </c>
      <c r="T232" s="1">
        <v>2</v>
      </c>
      <c r="U232" s="1">
        <v>2.5000000000000001E-2</v>
      </c>
      <c r="V232" s="1">
        <v>16</v>
      </c>
      <c r="BE232" s="1"/>
    </row>
    <row r="233" spans="2:57">
      <c r="B233" t="str">
        <f t="shared" si="3"/>
        <v>ID/OD(mm): 170/260, C/C0(kN): 168/173</v>
      </c>
      <c r="C233" s="101">
        <v>170</v>
      </c>
      <c r="D233" s="101">
        <v>260</v>
      </c>
      <c r="E233" s="101">
        <v>42</v>
      </c>
      <c r="F233" s="93">
        <v>168</v>
      </c>
      <c r="G233" s="101">
        <v>173</v>
      </c>
      <c r="H233" s="101">
        <v>5</v>
      </c>
      <c r="I233" s="101">
        <v>5300</v>
      </c>
      <c r="J233" s="101">
        <v>3200</v>
      </c>
      <c r="K233" s="1">
        <v>7</v>
      </c>
      <c r="L233" s="1" t="s">
        <v>1129</v>
      </c>
      <c r="N233" s="1">
        <v>200</v>
      </c>
      <c r="O233" s="1">
        <v>229</v>
      </c>
      <c r="P233" s="1" t="s">
        <v>704</v>
      </c>
      <c r="Q233" s="1">
        <v>1.5</v>
      </c>
      <c r="R233" s="1">
        <v>177</v>
      </c>
      <c r="S233" s="1">
        <v>253</v>
      </c>
      <c r="T233" s="1">
        <v>1.5</v>
      </c>
      <c r="U233" s="1">
        <v>0.02</v>
      </c>
      <c r="V233" s="1">
        <v>16</v>
      </c>
      <c r="BE233" s="1"/>
    </row>
    <row r="234" spans="2:57">
      <c r="B234" t="str">
        <f t="shared" si="3"/>
        <v>ID/OD(mm): 170/260, C/C0(kN): 168/173</v>
      </c>
      <c r="C234" s="101">
        <v>170</v>
      </c>
      <c r="D234" s="101">
        <v>260</v>
      </c>
      <c r="E234" s="101">
        <v>42</v>
      </c>
      <c r="F234" s="93">
        <v>168</v>
      </c>
      <c r="G234" s="101">
        <v>173</v>
      </c>
      <c r="H234" s="101">
        <v>5</v>
      </c>
      <c r="I234" s="101">
        <v>5300</v>
      </c>
      <c r="J234" s="101">
        <v>4300</v>
      </c>
      <c r="K234" s="1">
        <v>8.15</v>
      </c>
      <c r="L234" s="1" t="s">
        <v>1130</v>
      </c>
      <c r="N234" s="1">
        <v>198</v>
      </c>
      <c r="O234" s="1">
        <v>232</v>
      </c>
      <c r="P234" s="1" t="s">
        <v>704</v>
      </c>
      <c r="Q234" s="1">
        <v>2.1</v>
      </c>
      <c r="R234" s="1">
        <v>180</v>
      </c>
      <c r="S234" s="1">
        <v>250</v>
      </c>
      <c r="T234" s="1">
        <v>2</v>
      </c>
      <c r="U234" s="1">
        <v>2.5000000000000001E-2</v>
      </c>
      <c r="V234" s="1">
        <v>16</v>
      </c>
      <c r="BE234" s="1"/>
    </row>
    <row r="235" spans="2:57">
      <c r="B235" t="str">
        <f t="shared" si="3"/>
        <v>ID/OD(mm): 150/270, C/C0(kN): 174/166</v>
      </c>
      <c r="C235" s="101">
        <v>150</v>
      </c>
      <c r="D235" s="101">
        <v>270</v>
      </c>
      <c r="E235" s="101">
        <v>45</v>
      </c>
      <c r="F235" s="93">
        <v>174</v>
      </c>
      <c r="G235" s="101">
        <v>166</v>
      </c>
      <c r="H235" s="101">
        <v>4.9000000000000004</v>
      </c>
      <c r="I235" s="101">
        <v>5000</v>
      </c>
      <c r="J235" s="101">
        <v>3200</v>
      </c>
      <c r="K235" s="1">
        <v>10</v>
      </c>
      <c r="L235" s="1" t="s">
        <v>1131</v>
      </c>
      <c r="N235" s="1">
        <v>174</v>
      </c>
      <c r="O235" s="1">
        <v>200</v>
      </c>
      <c r="P235" s="1">
        <v>206</v>
      </c>
      <c r="Q235" s="1">
        <v>2.1</v>
      </c>
      <c r="R235" s="1">
        <v>160</v>
      </c>
      <c r="S235" s="1">
        <v>215</v>
      </c>
      <c r="T235" s="1">
        <v>2</v>
      </c>
      <c r="U235" s="1">
        <v>2.5000000000000001E-2</v>
      </c>
      <c r="V235" s="1">
        <v>16</v>
      </c>
      <c r="BE235" s="1"/>
    </row>
    <row r="236" spans="2:57">
      <c r="B236" t="str">
        <f t="shared" si="3"/>
        <v>ID/OD(mm): 100/215, C/C0(kN): 174/140</v>
      </c>
      <c r="C236" s="101">
        <v>100</v>
      </c>
      <c r="D236" s="101">
        <v>215</v>
      </c>
      <c r="E236" s="101">
        <v>47</v>
      </c>
      <c r="F236" s="93">
        <v>174</v>
      </c>
      <c r="G236" s="101">
        <v>140</v>
      </c>
      <c r="H236" s="101">
        <v>4.75</v>
      </c>
      <c r="I236" s="101">
        <v>6700</v>
      </c>
      <c r="J236" s="101">
        <v>4300</v>
      </c>
      <c r="K236" s="1">
        <v>7.1</v>
      </c>
      <c r="L236" s="1" t="s">
        <v>1132</v>
      </c>
      <c r="N236" s="1">
        <v>124</v>
      </c>
      <c r="O236" s="1">
        <v>155</v>
      </c>
      <c r="P236" s="1">
        <v>160</v>
      </c>
      <c r="Q236" s="1">
        <v>2.1</v>
      </c>
      <c r="R236" s="1">
        <v>112</v>
      </c>
      <c r="S236" s="1">
        <v>168</v>
      </c>
      <c r="T236" s="1">
        <v>2</v>
      </c>
      <c r="U236" s="1">
        <v>2.5000000000000001E-2</v>
      </c>
      <c r="V236" s="1">
        <v>14</v>
      </c>
      <c r="BE236" s="1"/>
    </row>
    <row r="237" spans="2:57">
      <c r="B237" t="str">
        <f t="shared" si="3"/>
        <v>ID/OD(mm): 85/210, C/C0(kN): 174/137</v>
      </c>
      <c r="C237" s="101">
        <v>85</v>
      </c>
      <c r="D237" s="101">
        <v>210</v>
      </c>
      <c r="E237" s="101">
        <v>52</v>
      </c>
      <c r="F237" s="93">
        <v>174</v>
      </c>
      <c r="G237" s="101">
        <v>137</v>
      </c>
      <c r="H237" s="101">
        <v>4.75</v>
      </c>
      <c r="I237" s="101">
        <v>7000</v>
      </c>
      <c r="J237" s="101">
        <v>4500</v>
      </c>
      <c r="K237" s="1">
        <v>8.0500000000000007</v>
      </c>
      <c r="L237" s="1" t="s">
        <v>1133</v>
      </c>
      <c r="N237" s="1">
        <v>114</v>
      </c>
      <c r="O237" s="1">
        <v>151</v>
      </c>
      <c r="P237" s="1">
        <v>156</v>
      </c>
      <c r="Q237" s="1">
        <v>3</v>
      </c>
      <c r="R237" s="1">
        <v>99</v>
      </c>
      <c r="S237" s="1">
        <v>166</v>
      </c>
      <c r="T237" s="1">
        <v>2.5</v>
      </c>
      <c r="U237" s="1">
        <v>0.03</v>
      </c>
      <c r="V237" s="1">
        <v>13</v>
      </c>
      <c r="BE237" s="1"/>
    </row>
    <row r="238" spans="2:57">
      <c r="B238" t="str">
        <f t="shared" si="3"/>
        <v>ID/OD(mm): 105/225, C/C0(kN): 182/153</v>
      </c>
      <c r="C238" s="101">
        <v>105</v>
      </c>
      <c r="D238" s="101">
        <v>225</v>
      </c>
      <c r="E238" s="101">
        <v>49</v>
      </c>
      <c r="F238" s="93">
        <v>182</v>
      </c>
      <c r="G238" s="101">
        <v>153</v>
      </c>
      <c r="H238" s="101">
        <v>5.0999999999999996</v>
      </c>
      <c r="I238" s="101">
        <v>6300</v>
      </c>
      <c r="J238" s="101">
        <v>4000</v>
      </c>
      <c r="K238" s="1">
        <v>8.15</v>
      </c>
      <c r="L238" s="1" t="s">
        <v>1134</v>
      </c>
      <c r="N238" s="1">
        <v>131</v>
      </c>
      <c r="O238" s="1">
        <v>164</v>
      </c>
      <c r="P238" s="1">
        <v>167</v>
      </c>
      <c r="Q238" s="1">
        <v>2.1</v>
      </c>
      <c r="R238" s="1">
        <v>117</v>
      </c>
      <c r="S238" s="1">
        <v>178</v>
      </c>
      <c r="T238" s="1">
        <v>2</v>
      </c>
      <c r="U238" s="1">
        <v>2.5000000000000001E-2</v>
      </c>
      <c r="V238" s="1">
        <v>14</v>
      </c>
      <c r="BE238" s="1"/>
    </row>
    <row r="239" spans="2:57">
      <c r="B239" t="str">
        <f t="shared" si="3"/>
        <v>ID/OD(mm): 160/290, C/C0(kN): 186/186</v>
      </c>
      <c r="C239" s="101">
        <v>160</v>
      </c>
      <c r="D239" s="101">
        <v>290</v>
      </c>
      <c r="E239" s="101">
        <v>48</v>
      </c>
      <c r="F239" s="93">
        <v>186</v>
      </c>
      <c r="G239" s="101">
        <v>186</v>
      </c>
      <c r="H239" s="101">
        <v>5.3</v>
      </c>
      <c r="I239" s="101">
        <v>4500</v>
      </c>
      <c r="J239" s="101">
        <v>3000</v>
      </c>
      <c r="K239" s="1">
        <v>13</v>
      </c>
      <c r="L239" s="1" t="s">
        <v>1135</v>
      </c>
      <c r="N239" s="1">
        <v>185</v>
      </c>
      <c r="O239" s="1">
        <v>215</v>
      </c>
      <c r="P239" s="1">
        <v>219</v>
      </c>
      <c r="Q239" s="1">
        <v>2.1</v>
      </c>
      <c r="R239" s="1">
        <v>169</v>
      </c>
      <c r="S239" s="1">
        <v>231</v>
      </c>
      <c r="T239" s="1">
        <v>2</v>
      </c>
      <c r="U239" s="1">
        <v>2.5000000000000001E-2</v>
      </c>
      <c r="V239" s="1">
        <v>16</v>
      </c>
      <c r="BE239" s="1"/>
    </row>
    <row r="240" spans="2:57">
      <c r="B240" t="str">
        <f t="shared" si="3"/>
        <v>ID/OD(mm): 90/225, C/C0(kN): 186/150</v>
      </c>
      <c r="C240" s="101">
        <v>90</v>
      </c>
      <c r="D240" s="101">
        <v>225</v>
      </c>
      <c r="E240" s="101">
        <v>54</v>
      </c>
      <c r="F240" s="93">
        <v>186</v>
      </c>
      <c r="G240" s="101">
        <v>150</v>
      </c>
      <c r="H240" s="101">
        <v>5</v>
      </c>
      <c r="I240" s="101">
        <v>6700</v>
      </c>
      <c r="J240" s="101">
        <v>4300</v>
      </c>
      <c r="K240" s="1">
        <v>9.8000000000000007</v>
      </c>
      <c r="L240" s="1" t="s">
        <v>1136</v>
      </c>
      <c r="N240" s="1">
        <v>121</v>
      </c>
      <c r="O240" s="1">
        <v>159</v>
      </c>
      <c r="P240" s="1">
        <v>164</v>
      </c>
      <c r="Q240" s="1">
        <v>3</v>
      </c>
      <c r="R240" s="1">
        <v>104</v>
      </c>
      <c r="S240" s="1">
        <v>176</v>
      </c>
      <c r="T240" s="1">
        <v>2.5</v>
      </c>
      <c r="U240" s="1">
        <v>0.03</v>
      </c>
      <c r="V240" s="1">
        <v>13</v>
      </c>
      <c r="BE240" s="1"/>
    </row>
    <row r="241" spans="2:57">
      <c r="B241" t="str">
        <f t="shared" si="3"/>
        <v>ID/OD(mm): 180/280, C/C0(kN): 190/200</v>
      </c>
      <c r="C241" s="101">
        <v>180</v>
      </c>
      <c r="D241" s="101">
        <v>280</v>
      </c>
      <c r="E241" s="101">
        <v>46</v>
      </c>
      <c r="F241" s="93">
        <v>190</v>
      </c>
      <c r="G241" s="101">
        <v>200</v>
      </c>
      <c r="H241" s="101">
        <v>5.6</v>
      </c>
      <c r="I241" s="101">
        <v>4800</v>
      </c>
      <c r="J241" s="101">
        <v>3000</v>
      </c>
      <c r="K241" s="1">
        <v>9.1</v>
      </c>
      <c r="L241" s="1" t="s">
        <v>1137</v>
      </c>
      <c r="N241" s="1">
        <v>213</v>
      </c>
      <c r="O241" s="1">
        <v>246</v>
      </c>
      <c r="P241" s="1" t="s">
        <v>704</v>
      </c>
      <c r="Q241" s="1">
        <v>2</v>
      </c>
      <c r="R241" s="1">
        <v>189</v>
      </c>
      <c r="S241" s="1">
        <v>271</v>
      </c>
      <c r="T241" s="1">
        <v>2</v>
      </c>
      <c r="U241" s="1">
        <v>0.02</v>
      </c>
      <c r="V241" s="1">
        <v>16</v>
      </c>
      <c r="BE241" s="1"/>
    </row>
    <row r="242" spans="2:57">
      <c r="B242" t="str">
        <f t="shared" si="3"/>
        <v>ID/OD(mm): 180/280, C/C0(kN): 190/200</v>
      </c>
      <c r="C242" s="101">
        <v>180</v>
      </c>
      <c r="D242" s="101">
        <v>280</v>
      </c>
      <c r="E242" s="101">
        <v>46</v>
      </c>
      <c r="F242" s="93">
        <v>190</v>
      </c>
      <c r="G242" s="101">
        <v>200</v>
      </c>
      <c r="H242" s="101">
        <v>5.6</v>
      </c>
      <c r="I242" s="101">
        <v>4800</v>
      </c>
      <c r="J242" s="101">
        <v>4000</v>
      </c>
      <c r="K242" s="1">
        <v>10.5</v>
      </c>
      <c r="L242" s="1" t="s">
        <v>1138</v>
      </c>
      <c r="N242" s="1">
        <v>212</v>
      </c>
      <c r="O242" s="1">
        <v>248</v>
      </c>
      <c r="P242" s="1" t="s">
        <v>704</v>
      </c>
      <c r="Q242" s="1">
        <v>2.1</v>
      </c>
      <c r="R242" s="1">
        <v>190</v>
      </c>
      <c r="S242" s="1">
        <v>270</v>
      </c>
      <c r="T242" s="1">
        <v>2</v>
      </c>
      <c r="U242" s="1">
        <v>2.5000000000000001E-2</v>
      </c>
      <c r="V242" s="1">
        <v>16</v>
      </c>
      <c r="BE242" s="1"/>
    </row>
    <row r="243" spans="2:57">
      <c r="B243" t="str">
        <f t="shared" si="3"/>
        <v>ID/OD(mm): 110/240, C/C0(kN): 203/180</v>
      </c>
      <c r="C243" s="101">
        <v>110</v>
      </c>
      <c r="D243" s="101">
        <v>240</v>
      </c>
      <c r="E243" s="101">
        <v>50</v>
      </c>
      <c r="F243" s="93">
        <v>203</v>
      </c>
      <c r="G243" s="101">
        <v>180</v>
      </c>
      <c r="H243" s="101">
        <v>5.7</v>
      </c>
      <c r="I243" s="101">
        <v>6000</v>
      </c>
      <c r="J243" s="101">
        <v>3800</v>
      </c>
      <c r="K243" s="1">
        <v>9.65</v>
      </c>
      <c r="L243" s="1" t="s">
        <v>1139</v>
      </c>
      <c r="M243" s="1">
        <v>138</v>
      </c>
      <c r="O243" s="1">
        <v>172</v>
      </c>
      <c r="P243" s="1">
        <v>177</v>
      </c>
      <c r="Q243" s="1">
        <v>2.1</v>
      </c>
      <c r="R243" s="1">
        <v>122</v>
      </c>
      <c r="S243" s="1">
        <v>188</v>
      </c>
      <c r="T243" s="1">
        <v>2</v>
      </c>
      <c r="U243" s="1">
        <v>2.5000000000000001E-2</v>
      </c>
      <c r="V243" s="1">
        <v>14</v>
      </c>
      <c r="BE243" s="1"/>
    </row>
    <row r="244" spans="2:57">
      <c r="B244" t="str">
        <f t="shared" si="3"/>
        <v>ID/OD(mm): 120/260, C/C0(kN): 208/186</v>
      </c>
      <c r="C244" s="101">
        <v>120</v>
      </c>
      <c r="D244" s="101">
        <v>260</v>
      </c>
      <c r="E244" s="101">
        <v>55</v>
      </c>
      <c r="F244" s="93">
        <v>208</v>
      </c>
      <c r="G244" s="101">
        <v>186</v>
      </c>
      <c r="H244" s="101">
        <v>5.7</v>
      </c>
      <c r="I244" s="101">
        <v>5600</v>
      </c>
      <c r="J244" s="101">
        <v>3400</v>
      </c>
      <c r="K244" s="1">
        <v>12.5</v>
      </c>
      <c r="L244" s="1" t="s">
        <v>1140</v>
      </c>
      <c r="N244" s="1">
        <v>150</v>
      </c>
      <c r="O244" s="1">
        <v>185</v>
      </c>
      <c r="P244" s="1">
        <v>190</v>
      </c>
      <c r="Q244" s="1">
        <v>2.1</v>
      </c>
      <c r="R244" s="1">
        <v>132</v>
      </c>
      <c r="S244" s="1">
        <v>203</v>
      </c>
      <c r="T244" s="1">
        <v>2</v>
      </c>
      <c r="U244" s="1">
        <v>2.5000000000000001E-2</v>
      </c>
      <c r="V244" s="1">
        <v>14</v>
      </c>
      <c r="BE244" s="1"/>
    </row>
    <row r="245" spans="2:57">
      <c r="B245" t="str">
        <f t="shared" si="3"/>
        <v>ID/OD(mm): 170/310, C/C0(kN): 212/224</v>
      </c>
      <c r="C245" s="101">
        <v>170</v>
      </c>
      <c r="D245" s="101">
        <v>310</v>
      </c>
      <c r="E245" s="101">
        <v>52</v>
      </c>
      <c r="F245" s="93">
        <v>212</v>
      </c>
      <c r="G245" s="101">
        <v>224</v>
      </c>
      <c r="H245" s="101">
        <v>6.1</v>
      </c>
      <c r="I245" s="101">
        <v>4300</v>
      </c>
      <c r="J245" s="101">
        <v>2800</v>
      </c>
      <c r="K245" s="1">
        <v>16</v>
      </c>
      <c r="L245" s="1" t="s">
        <v>1141</v>
      </c>
      <c r="N245" s="1">
        <v>198</v>
      </c>
      <c r="O245" s="1">
        <v>232</v>
      </c>
      <c r="P245" s="1" t="s">
        <v>704</v>
      </c>
      <c r="Q245" s="1">
        <v>2.1</v>
      </c>
      <c r="R245" s="1">
        <v>180</v>
      </c>
      <c r="S245" s="1">
        <v>250</v>
      </c>
      <c r="T245" s="1">
        <v>2</v>
      </c>
      <c r="U245" s="1">
        <v>2.5000000000000001E-2</v>
      </c>
      <c r="V245" s="1">
        <v>16</v>
      </c>
      <c r="BE245" s="1"/>
    </row>
    <row r="246" spans="2:57">
      <c r="B246" t="str">
        <f t="shared" si="3"/>
        <v>ID/OD(mm): 170/310, C/C0(kN): 212/224</v>
      </c>
      <c r="C246" s="101">
        <v>170</v>
      </c>
      <c r="D246" s="101">
        <v>310</v>
      </c>
      <c r="E246" s="101">
        <v>52</v>
      </c>
      <c r="F246" s="93">
        <v>212</v>
      </c>
      <c r="G246" s="101">
        <v>224</v>
      </c>
      <c r="H246" s="101">
        <v>6.1</v>
      </c>
      <c r="I246" s="101">
        <v>4300</v>
      </c>
      <c r="J246" s="101">
        <v>3800</v>
      </c>
      <c r="K246" s="1">
        <v>18</v>
      </c>
      <c r="L246" s="1" t="s">
        <v>1142</v>
      </c>
      <c r="N246" s="1">
        <v>218</v>
      </c>
      <c r="O246" s="1">
        <v>259</v>
      </c>
      <c r="P246" s="1" t="s">
        <v>704</v>
      </c>
      <c r="Q246" s="1">
        <v>4</v>
      </c>
      <c r="R246" s="1">
        <v>187</v>
      </c>
      <c r="S246" s="1">
        <v>293</v>
      </c>
      <c r="T246" s="1">
        <v>3</v>
      </c>
      <c r="U246" s="1">
        <v>2.5000000000000001E-2</v>
      </c>
      <c r="V246" s="1">
        <v>15</v>
      </c>
      <c r="BE246" s="1"/>
    </row>
    <row r="247" spans="2:57">
      <c r="B247" t="str">
        <f t="shared" si="3"/>
        <v>ID/OD(mm): 180/320, C/C0(kN): 229/240</v>
      </c>
      <c r="C247" s="101">
        <v>180</v>
      </c>
      <c r="D247" s="101">
        <v>320</v>
      </c>
      <c r="E247" s="101">
        <v>52</v>
      </c>
      <c r="F247" s="93">
        <v>229</v>
      </c>
      <c r="G247" s="101">
        <v>240</v>
      </c>
      <c r="H247" s="101">
        <v>6.4</v>
      </c>
      <c r="I247" s="101">
        <v>4000</v>
      </c>
      <c r="J247" s="101">
        <v>2600</v>
      </c>
      <c r="K247" s="1">
        <v>42</v>
      </c>
      <c r="L247" s="1" t="s">
        <v>1143</v>
      </c>
      <c r="N247" s="1">
        <v>212</v>
      </c>
      <c r="O247" s="1">
        <v>248</v>
      </c>
      <c r="P247" s="1" t="s">
        <v>704</v>
      </c>
      <c r="Q247" s="1">
        <v>2.1</v>
      </c>
      <c r="R247" s="1">
        <v>190</v>
      </c>
      <c r="S247" s="1">
        <v>270</v>
      </c>
      <c r="T247" s="1">
        <v>2</v>
      </c>
      <c r="U247" s="1">
        <v>2.5000000000000001E-2</v>
      </c>
      <c r="V247" s="1">
        <v>16</v>
      </c>
      <c r="BE247" s="1"/>
    </row>
    <row r="248" spans="2:57">
      <c r="B248" t="str">
        <f t="shared" si="3"/>
        <v>ID/OD(mm): 180/320, C/C0(kN): 229/240</v>
      </c>
      <c r="C248" s="101">
        <v>180</v>
      </c>
      <c r="D248" s="101">
        <v>320</v>
      </c>
      <c r="E248" s="101">
        <v>52</v>
      </c>
      <c r="F248" s="93">
        <v>229</v>
      </c>
      <c r="G248" s="101">
        <v>240</v>
      </c>
      <c r="H248" s="101">
        <v>6.4</v>
      </c>
      <c r="I248" s="101">
        <v>4000</v>
      </c>
      <c r="J248" s="101">
        <v>3800</v>
      </c>
      <c r="K248" s="1">
        <v>18.5</v>
      </c>
      <c r="L248" s="1" t="s">
        <v>1144</v>
      </c>
      <c r="N248" s="1">
        <v>226</v>
      </c>
      <c r="O248" s="1">
        <v>274</v>
      </c>
      <c r="P248" s="1" t="s">
        <v>704</v>
      </c>
      <c r="Q248" s="1">
        <v>4</v>
      </c>
      <c r="R248" s="1">
        <v>197</v>
      </c>
      <c r="S248" s="1">
        <v>303</v>
      </c>
      <c r="T248" s="1">
        <v>3</v>
      </c>
      <c r="U248" s="1">
        <v>2.5000000000000001E-2</v>
      </c>
      <c r="V248" s="1">
        <v>15</v>
      </c>
      <c r="BE248" s="1"/>
    </row>
    <row r="249" spans="2:57">
      <c r="B249" t="str">
        <f t="shared" si="3"/>
        <v>ID/OD(mm): 130/280, C/C0(kN): 229/216</v>
      </c>
      <c r="C249" s="101">
        <v>130</v>
      </c>
      <c r="D249" s="101">
        <v>280</v>
      </c>
      <c r="E249" s="101">
        <v>58</v>
      </c>
      <c r="F249" s="93">
        <v>229</v>
      </c>
      <c r="G249" s="101">
        <v>216</v>
      </c>
      <c r="H249" s="101">
        <v>6.3</v>
      </c>
      <c r="I249" s="101">
        <v>5000</v>
      </c>
      <c r="J249" s="101">
        <v>3200</v>
      </c>
      <c r="K249" s="1">
        <v>15</v>
      </c>
      <c r="L249" s="1" t="s">
        <v>1145</v>
      </c>
      <c r="N249" s="1">
        <v>160</v>
      </c>
      <c r="O249" s="1">
        <v>198</v>
      </c>
      <c r="P249" s="1" t="s">
        <v>704</v>
      </c>
      <c r="Q249" s="1">
        <v>3</v>
      </c>
      <c r="R249" s="1">
        <v>144</v>
      </c>
      <c r="S249" s="1">
        <v>216</v>
      </c>
      <c r="T249" s="1">
        <v>2.5</v>
      </c>
      <c r="U249" s="1">
        <v>2.5000000000000001E-2</v>
      </c>
      <c r="V249" s="1">
        <v>15</v>
      </c>
      <c r="BE249" s="1"/>
    </row>
    <row r="250" spans="2:57">
      <c r="B250" t="str">
        <f t="shared" si="3"/>
        <v>ID/OD(mm): 130/280, C/C0(kN): 229/216</v>
      </c>
      <c r="C250" s="101">
        <v>130</v>
      </c>
      <c r="D250" s="101">
        <v>280</v>
      </c>
      <c r="E250" s="101">
        <v>58</v>
      </c>
      <c r="F250" s="93">
        <v>229</v>
      </c>
      <c r="G250" s="101">
        <v>216</v>
      </c>
      <c r="H250" s="101">
        <v>6.3</v>
      </c>
      <c r="I250" s="101">
        <v>5000</v>
      </c>
      <c r="J250" s="101">
        <v>4500</v>
      </c>
      <c r="K250" s="1">
        <v>17.5</v>
      </c>
      <c r="L250" s="1" t="s">
        <v>1146</v>
      </c>
      <c r="N250" s="1">
        <v>177</v>
      </c>
      <c r="O250" s="1">
        <v>232</v>
      </c>
      <c r="P250" s="1" t="s">
        <v>704</v>
      </c>
      <c r="Q250" s="1">
        <v>4</v>
      </c>
      <c r="R250" s="1">
        <v>147</v>
      </c>
      <c r="S250" s="1">
        <v>263</v>
      </c>
      <c r="T250" s="1">
        <v>3</v>
      </c>
      <c r="U250" s="1">
        <v>0.03</v>
      </c>
      <c r="V250" s="1">
        <v>14</v>
      </c>
      <c r="BE250" s="1"/>
    </row>
    <row r="251" spans="2:57">
      <c r="B251" t="str">
        <f t="shared" si="3"/>
        <v>ID/OD(mm): 140/300, C/C0(kN): 251/245</v>
      </c>
      <c r="C251" s="101">
        <v>140</v>
      </c>
      <c r="D251" s="101">
        <v>300</v>
      </c>
      <c r="E251" s="101">
        <v>62</v>
      </c>
      <c r="F251" s="93">
        <v>251</v>
      </c>
      <c r="G251" s="101">
        <v>245</v>
      </c>
      <c r="H251" s="101">
        <v>7.1</v>
      </c>
      <c r="I251" s="101">
        <v>4800</v>
      </c>
      <c r="J251" s="101">
        <v>3000</v>
      </c>
      <c r="K251" s="1">
        <v>18.5</v>
      </c>
      <c r="L251" s="1" t="s">
        <v>1147</v>
      </c>
      <c r="N251" s="1">
        <v>175</v>
      </c>
      <c r="O251" s="1">
        <v>213</v>
      </c>
      <c r="P251" s="1" t="s">
        <v>704</v>
      </c>
      <c r="Q251" s="1">
        <v>3</v>
      </c>
      <c r="R251" s="1">
        <v>154</v>
      </c>
      <c r="S251" s="1">
        <v>236</v>
      </c>
      <c r="T251" s="1">
        <v>2.5</v>
      </c>
      <c r="U251" s="1">
        <v>2.5000000000000001E-2</v>
      </c>
      <c r="V251" s="1">
        <v>15</v>
      </c>
      <c r="BE251" s="1"/>
    </row>
    <row r="252" spans="2:57">
      <c r="B252" t="str">
        <f t="shared" si="3"/>
        <v>ID/OD(mm): 140/300, C/C0(kN): 251/245</v>
      </c>
      <c r="C252" s="101">
        <v>140</v>
      </c>
      <c r="D252" s="101">
        <v>300</v>
      </c>
      <c r="E252" s="101">
        <v>62</v>
      </c>
      <c r="F252" s="93">
        <v>251</v>
      </c>
      <c r="G252" s="101">
        <v>245</v>
      </c>
      <c r="H252" s="101">
        <v>7.1</v>
      </c>
      <c r="I252" s="101">
        <v>4800</v>
      </c>
      <c r="J252" s="101">
        <v>4300</v>
      </c>
      <c r="K252" s="1">
        <v>21.5</v>
      </c>
      <c r="L252" s="1" t="s">
        <v>1148</v>
      </c>
      <c r="N252" s="1">
        <v>190</v>
      </c>
      <c r="O252" s="1">
        <v>249</v>
      </c>
      <c r="P252" s="1" t="s">
        <v>704</v>
      </c>
      <c r="Q252" s="1">
        <v>4</v>
      </c>
      <c r="R252" s="1">
        <v>157</v>
      </c>
      <c r="S252" s="1">
        <v>283</v>
      </c>
      <c r="T252" s="1">
        <v>3</v>
      </c>
      <c r="U252" s="1">
        <v>0.03</v>
      </c>
      <c r="V252" s="1">
        <v>14</v>
      </c>
      <c r="BE252" s="1"/>
    </row>
    <row r="253" spans="2:57">
      <c r="B253" t="str">
        <f t="shared" si="3"/>
        <v>ID/OD(mm): 150/320, C/C0(kN): 276/285</v>
      </c>
      <c r="C253" s="101">
        <v>150</v>
      </c>
      <c r="D253" s="101">
        <v>320</v>
      </c>
      <c r="E253" s="101">
        <v>65</v>
      </c>
      <c r="F253" s="93">
        <v>276</v>
      </c>
      <c r="G253" s="101">
        <v>285</v>
      </c>
      <c r="H253" s="101">
        <v>7.8</v>
      </c>
      <c r="I253" s="101">
        <v>4300</v>
      </c>
      <c r="J253" s="101">
        <v>2800</v>
      </c>
      <c r="K253" s="1">
        <v>23</v>
      </c>
      <c r="L253" s="1" t="s">
        <v>1149</v>
      </c>
      <c r="N253" s="1">
        <v>190</v>
      </c>
      <c r="O253" s="1">
        <v>228</v>
      </c>
      <c r="P253" s="1" t="s">
        <v>704</v>
      </c>
      <c r="Q253" s="1">
        <v>3</v>
      </c>
      <c r="R253" s="1">
        <v>164</v>
      </c>
      <c r="S253" s="1">
        <v>256</v>
      </c>
      <c r="T253" s="1">
        <v>2.5</v>
      </c>
      <c r="U253" s="1">
        <v>2.5000000000000001E-2</v>
      </c>
      <c r="V253" s="1">
        <v>15</v>
      </c>
      <c r="BE253" s="1"/>
    </row>
    <row r="254" spans="2:57">
      <c r="B254" t="str">
        <f t="shared" si="3"/>
        <v>ID/OD(mm): 150/320, C/C0(kN): 276/285</v>
      </c>
      <c r="C254" s="101">
        <v>150</v>
      </c>
      <c r="D254" s="101">
        <v>320</v>
      </c>
      <c r="E254" s="101">
        <v>65</v>
      </c>
      <c r="F254" s="93">
        <v>276</v>
      </c>
      <c r="G254" s="101">
        <v>285</v>
      </c>
      <c r="H254" s="101">
        <v>7.8</v>
      </c>
      <c r="I254" s="101">
        <v>4300</v>
      </c>
      <c r="J254" s="101">
        <v>4000</v>
      </c>
      <c r="K254" s="1">
        <v>26</v>
      </c>
      <c r="L254" s="1" t="s">
        <v>1150</v>
      </c>
      <c r="N254" s="1">
        <v>205</v>
      </c>
      <c r="O254" s="1">
        <v>264</v>
      </c>
      <c r="P254" s="1" t="s">
        <v>704</v>
      </c>
      <c r="Q254" s="1">
        <v>4</v>
      </c>
      <c r="R254" s="1">
        <v>167</v>
      </c>
      <c r="S254" s="1">
        <v>303</v>
      </c>
      <c r="T254" s="1">
        <v>3</v>
      </c>
      <c r="U254" s="1">
        <v>0.03</v>
      </c>
      <c r="V254" s="1">
        <v>14</v>
      </c>
      <c r="BE254" s="1"/>
    </row>
    <row r="255" spans="2:57">
      <c r="B255" t="str">
        <f t="shared" si="3"/>
        <v>ID/OD(mm): 160/340, C/C0(kN): 276/285</v>
      </c>
      <c r="C255" s="101">
        <v>160</v>
      </c>
      <c r="D255" s="101">
        <v>340</v>
      </c>
      <c r="E255" s="101">
        <v>68</v>
      </c>
      <c r="F255" s="93">
        <v>276</v>
      </c>
      <c r="G255" s="101">
        <v>285</v>
      </c>
      <c r="H255" s="101">
        <v>7.65</v>
      </c>
      <c r="I255" s="101">
        <v>4000</v>
      </c>
      <c r="J255" s="101">
        <v>2600</v>
      </c>
      <c r="K255" s="1">
        <v>26</v>
      </c>
      <c r="L255" s="1" t="s">
        <v>1151</v>
      </c>
      <c r="N255" s="1">
        <v>205</v>
      </c>
      <c r="O255" s="1">
        <v>243</v>
      </c>
      <c r="P255" s="1" t="s">
        <v>704</v>
      </c>
      <c r="Q255" s="1">
        <v>3</v>
      </c>
      <c r="R255" s="1">
        <v>174</v>
      </c>
      <c r="S255" s="1">
        <v>276</v>
      </c>
      <c r="T255" s="1">
        <v>2.5</v>
      </c>
      <c r="U255" s="1">
        <v>2.5000000000000001E-2</v>
      </c>
      <c r="V255" s="1">
        <v>15</v>
      </c>
      <c r="BE255" s="1"/>
    </row>
    <row r="256" spans="2:57">
      <c r="B256" t="str">
        <f t="shared" si="3"/>
        <v>ID/OD(mm): 160/340, C/C0(kN): 276/285</v>
      </c>
      <c r="C256" s="101">
        <v>160</v>
      </c>
      <c r="D256" s="101">
        <v>340</v>
      </c>
      <c r="E256" s="101">
        <v>68</v>
      </c>
      <c r="F256" s="93">
        <v>276</v>
      </c>
      <c r="G256" s="101">
        <v>285</v>
      </c>
      <c r="H256" s="101">
        <v>7.65</v>
      </c>
      <c r="I256" s="101">
        <v>4000</v>
      </c>
      <c r="J256" s="101">
        <v>3800</v>
      </c>
      <c r="K256" s="1">
        <v>30.5</v>
      </c>
      <c r="L256" s="1" t="s">
        <v>1152</v>
      </c>
      <c r="N256" s="1">
        <v>218</v>
      </c>
      <c r="O256" s="1">
        <v>281</v>
      </c>
      <c r="P256" s="1" t="s">
        <v>704</v>
      </c>
      <c r="Q256" s="1">
        <v>4</v>
      </c>
      <c r="R256" s="1">
        <v>177</v>
      </c>
      <c r="S256" s="1">
        <v>323</v>
      </c>
      <c r="T256" s="1">
        <v>3</v>
      </c>
      <c r="U256" s="1">
        <v>0.03</v>
      </c>
      <c r="V256" s="1">
        <v>14</v>
      </c>
      <c r="BE256" s="1"/>
    </row>
    <row r="257" spans="2:57">
      <c r="B257" t="str">
        <f t="shared" si="3"/>
        <v>ID/OD(mm): 170/360, C/C0(kN): 312/340</v>
      </c>
      <c r="C257" s="101">
        <v>170</v>
      </c>
      <c r="D257" s="101">
        <v>360</v>
      </c>
      <c r="E257" s="101">
        <v>72</v>
      </c>
      <c r="F257" s="93">
        <v>312</v>
      </c>
      <c r="G257" s="101">
        <v>340</v>
      </c>
      <c r="H257" s="101">
        <v>8.8000000000000007</v>
      </c>
      <c r="I257" s="101">
        <v>3800</v>
      </c>
      <c r="J257" s="101">
        <v>2400</v>
      </c>
      <c r="K257" s="1">
        <v>31</v>
      </c>
      <c r="L257" s="1" t="s">
        <v>1153</v>
      </c>
      <c r="N257" s="1">
        <v>218</v>
      </c>
      <c r="O257" s="1">
        <v>259</v>
      </c>
      <c r="P257" s="1" t="s">
        <v>704</v>
      </c>
      <c r="Q257" s="1">
        <v>4</v>
      </c>
      <c r="R257" s="1">
        <v>187</v>
      </c>
      <c r="S257" s="1">
        <v>293</v>
      </c>
      <c r="T257" s="1">
        <v>3</v>
      </c>
      <c r="U257" s="1">
        <v>2.5000000000000001E-2</v>
      </c>
      <c r="V257" s="1">
        <v>15</v>
      </c>
      <c r="BE257" s="1"/>
    </row>
    <row r="258" spans="2:57">
      <c r="B258" t="str">
        <f t="shared" si="3"/>
        <v>ID/OD(mm): 170/360, C/C0(kN): 312/340</v>
      </c>
      <c r="C258" s="101">
        <v>170</v>
      </c>
      <c r="D258" s="101">
        <v>360</v>
      </c>
      <c r="E258" s="101">
        <v>72</v>
      </c>
      <c r="F258" s="93">
        <v>312</v>
      </c>
      <c r="G258" s="101">
        <v>340</v>
      </c>
      <c r="H258" s="101">
        <v>8.8000000000000007</v>
      </c>
      <c r="I258" s="101">
        <v>3800</v>
      </c>
      <c r="J258" s="101">
        <v>3400</v>
      </c>
      <c r="K258" s="1">
        <v>36</v>
      </c>
      <c r="L258" s="1" t="s">
        <v>1154</v>
      </c>
      <c r="N258" s="1">
        <v>230</v>
      </c>
      <c r="O258" s="1">
        <v>299</v>
      </c>
      <c r="P258" s="1" t="s">
        <v>704</v>
      </c>
      <c r="Q258" s="1">
        <v>4</v>
      </c>
      <c r="R258" s="1">
        <v>187</v>
      </c>
      <c r="S258" s="1">
        <v>343</v>
      </c>
      <c r="T258" s="1">
        <v>3</v>
      </c>
      <c r="U258" s="1">
        <v>0.03</v>
      </c>
      <c r="V258" s="1">
        <v>14</v>
      </c>
      <c r="BE258" s="1"/>
    </row>
    <row r="259" spans="2:57">
      <c r="B259" t="str">
        <f t="shared" si="3"/>
        <v>ID/OD(mm): 180/380, C/C0(kN): 351/405</v>
      </c>
      <c r="C259" s="101">
        <v>180</v>
      </c>
      <c r="D259" s="101">
        <v>380</v>
      </c>
      <c r="E259" s="101">
        <v>75</v>
      </c>
      <c r="F259" s="93">
        <v>351</v>
      </c>
      <c r="G259" s="101">
        <v>405</v>
      </c>
      <c r="H259" s="101">
        <v>10.4</v>
      </c>
      <c r="I259" s="101">
        <v>3600</v>
      </c>
      <c r="J259" s="101">
        <v>2200</v>
      </c>
      <c r="K259" s="1">
        <v>36.5</v>
      </c>
      <c r="L259" s="1" t="s">
        <v>1155</v>
      </c>
      <c r="N259" s="1">
        <v>226</v>
      </c>
      <c r="O259" s="1">
        <v>274</v>
      </c>
      <c r="P259" s="1" t="s">
        <v>704</v>
      </c>
      <c r="Q259" s="1">
        <v>4</v>
      </c>
      <c r="R259" s="1">
        <v>197</v>
      </c>
      <c r="S259" s="1">
        <v>303</v>
      </c>
      <c r="T259" s="1">
        <v>3</v>
      </c>
      <c r="U259" s="1">
        <v>2.5000000000000001E-2</v>
      </c>
      <c r="V259" s="1">
        <v>15</v>
      </c>
      <c r="BE259" s="1"/>
    </row>
    <row r="260" spans="2:57">
      <c r="B260" t="str">
        <f t="shared" si="3"/>
        <v>ID/OD(mm): 180/380, C/C0(kN): 351/405</v>
      </c>
      <c r="C260" s="101">
        <v>180</v>
      </c>
      <c r="D260" s="101">
        <v>380</v>
      </c>
      <c r="E260" s="101">
        <v>75</v>
      </c>
      <c r="F260" s="93">
        <v>351</v>
      </c>
      <c r="G260" s="101">
        <v>405</v>
      </c>
      <c r="H260" s="101">
        <v>10.4</v>
      </c>
      <c r="I260" s="101">
        <v>3600</v>
      </c>
      <c r="J260" s="101">
        <v>3200</v>
      </c>
      <c r="K260" s="1">
        <v>42</v>
      </c>
      <c r="L260" s="1" t="s">
        <v>1156</v>
      </c>
      <c r="N260" s="1">
        <v>244</v>
      </c>
      <c r="O260" s="1">
        <v>315</v>
      </c>
      <c r="P260" s="1" t="s">
        <v>704</v>
      </c>
      <c r="Q260" s="1">
        <v>4</v>
      </c>
      <c r="R260" s="1">
        <v>197</v>
      </c>
      <c r="S260" s="1">
        <v>363</v>
      </c>
      <c r="T260" s="1">
        <v>3</v>
      </c>
      <c r="U260" s="1">
        <v>0.03</v>
      </c>
      <c r="V260" s="1">
        <v>14</v>
      </c>
      <c r="BE260" s="1"/>
    </row>
    <row r="261" spans="2:57">
      <c r="BE261" s="1"/>
    </row>
    <row r="262" spans="2:57">
      <c r="BE262" s="1"/>
    </row>
    <row r="263" spans="2:57">
      <c r="BE263" s="1"/>
    </row>
    <row r="264" spans="2:57">
      <c r="BE264" s="1"/>
    </row>
    <row r="265" spans="2:57">
      <c r="BE265" s="1"/>
    </row>
    <row r="266" spans="2:57">
      <c r="BE266" s="1"/>
    </row>
    <row r="267" spans="2:57">
      <c r="BE267" s="1"/>
    </row>
    <row r="268" spans="2:57">
      <c r="BE268" s="1"/>
    </row>
    <row r="269" spans="2:57">
      <c r="BE269" s="1"/>
    </row>
    <row r="270" spans="2:57">
      <c r="BE270" s="1"/>
    </row>
    <row r="271" spans="2:57">
      <c r="BE271" s="1"/>
    </row>
    <row r="272" spans="2:57">
      <c r="BE272" s="1"/>
    </row>
    <row r="273" spans="57:57">
      <c r="BE273" s="1"/>
    </row>
    <row r="274" spans="57:57">
      <c r="BE274" s="1"/>
    </row>
    <row r="275" spans="57:57">
      <c r="BE275" s="1"/>
    </row>
    <row r="276" spans="57:57">
      <c r="BE276" s="1"/>
    </row>
    <row r="277" spans="57:57">
      <c r="BE277" s="1"/>
    </row>
    <row r="278" spans="57:57">
      <c r="BE278" s="1"/>
    </row>
    <row r="279" spans="57:57">
      <c r="BE279" s="1"/>
    </row>
    <row r="280" spans="57:57">
      <c r="BE280" s="1"/>
    </row>
    <row r="281" spans="57:57">
      <c r="BE281" s="1"/>
    </row>
    <row r="282" spans="57:57">
      <c r="BE282" s="1"/>
    </row>
    <row r="283" spans="57:57">
      <c r="BE283" s="1"/>
    </row>
    <row r="284" spans="57:57">
      <c r="BE284" s="1"/>
    </row>
    <row r="285" spans="57:57">
      <c r="BE285" s="1"/>
    </row>
    <row r="286" spans="57:57">
      <c r="BE286" s="1"/>
    </row>
    <row r="287" spans="57:57">
      <c r="BE287" s="1"/>
    </row>
    <row r="288" spans="57:57">
      <c r="BE288" s="1"/>
    </row>
    <row r="289" spans="57:57">
      <c r="BE289" s="1"/>
    </row>
    <row r="290" spans="57:57">
      <c r="BE290" s="1"/>
    </row>
    <row r="291" spans="57:57">
      <c r="BE291" s="1"/>
    </row>
    <row r="292" spans="57:57">
      <c r="BE292" s="1"/>
    </row>
    <row r="293" spans="57:57">
      <c r="BE293" s="1"/>
    </row>
    <row r="294" spans="57:57">
      <c r="BE294" s="1"/>
    </row>
    <row r="295" spans="57:57">
      <c r="BE295" s="1"/>
    </row>
    <row r="296" spans="57:57">
      <c r="BE296" s="1"/>
    </row>
    <row r="297" spans="57:57">
      <c r="BE297" s="1"/>
    </row>
    <row r="298" spans="57:57">
      <c r="BE298" s="1"/>
    </row>
    <row r="299" spans="57:57">
      <c r="BE299" s="1"/>
    </row>
    <row r="300" spans="57:57">
      <c r="BE300" s="1"/>
    </row>
    <row r="301" spans="57:57">
      <c r="BE301" s="1"/>
    </row>
    <row r="302" spans="57:57">
      <c r="BE302" s="1"/>
    </row>
    <row r="303" spans="57:57">
      <c r="BE303" s="1"/>
    </row>
    <row r="304" spans="57:57">
      <c r="BE304" s="1"/>
    </row>
    <row r="305" spans="57:57">
      <c r="BE305" s="1"/>
    </row>
    <row r="306" spans="57:57">
      <c r="BE306" s="1"/>
    </row>
    <row r="307" spans="57:57">
      <c r="BE307" s="1"/>
    </row>
    <row r="308" spans="57:57">
      <c r="BE308" s="1"/>
    </row>
    <row r="309" spans="57:57">
      <c r="BE309" s="1"/>
    </row>
  </sheetData>
  <mergeCells count="13">
    <mergeCell ref="BC11:BH11"/>
    <mergeCell ref="BC12:BD12"/>
    <mergeCell ref="BE12:BF12"/>
    <mergeCell ref="BG12:BH12"/>
    <mergeCell ref="C12:E12"/>
    <mergeCell ref="Z12:AB12"/>
    <mergeCell ref="AC12:AD12"/>
    <mergeCell ref="AF12:AG12"/>
    <mergeCell ref="F12:G12"/>
    <mergeCell ref="I12:J12"/>
    <mergeCell ref="M12:Q12"/>
    <mergeCell ref="R12:T12"/>
    <mergeCell ref="U12:V12"/>
  </mergeCells>
  <pageMargins left="0.7" right="0.7" top="0.75" bottom="0.75" header="0.3" footer="0.3"/>
  <pageSetup orientation="portrait" horizontalDpi="1200" verticalDpi="12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169" r:id="rId4" name="Drop Down 1">
              <controlPr defaultSize="0" autoLine="0" autoPict="0">
                <anchor moveWithCells="1">
                  <from>
                    <xdr:col>1</xdr:col>
                    <xdr:colOff>0</xdr:colOff>
                    <xdr:row>6</xdr:row>
                    <xdr:rowOff>0</xdr:rowOff>
                  </from>
                  <to>
                    <xdr:col>2</xdr:col>
                    <xdr:colOff>30480</xdr:colOff>
                    <xdr:row>7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0" r:id="rId5" name="Drop Down 2">
              <controlPr defaultSize="0" autoLine="0" autoPict="0">
                <anchor moveWithCells="1">
                  <from>
                    <xdr:col>24</xdr:col>
                    <xdr:colOff>0</xdr:colOff>
                    <xdr:row>6</xdr:row>
                    <xdr:rowOff>0</xdr:rowOff>
                  </from>
                  <to>
                    <xdr:col>25</xdr:col>
                    <xdr:colOff>106680</xdr:colOff>
                    <xdr:row>7</xdr:row>
                    <xdr:rowOff>30480</xdr:rowOff>
                  </to>
                </anchor>
              </controlPr>
            </control>
          </mc:Choice>
        </mc:AlternateContent>
      </controls>
    </mc:Choice>
  </mc:AlternateContent>
  <tableParts count="2">
    <tablePart r:id="rId6"/>
    <tablePart r:id="rId7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A2F608-01BC-4CC4-9696-2281BCDFBEBC}">
  <sheetPr codeName="Sheet11"/>
  <dimension ref="B2:AH50"/>
  <sheetViews>
    <sheetView topLeftCell="A4" zoomScale="62" workbookViewId="0">
      <selection activeCell="AA45" sqref="AA45"/>
    </sheetView>
  </sheetViews>
  <sheetFormatPr defaultRowHeight="14.45"/>
  <cols>
    <col min="1" max="1" width="2.5703125" customWidth="1"/>
    <col min="20" max="20" width="2.5703125" customWidth="1"/>
  </cols>
  <sheetData>
    <row r="2" spans="2:34">
      <c r="B2" s="47" t="s">
        <v>1157</v>
      </c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U2" s="49" t="s">
        <v>13</v>
      </c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</row>
    <row r="3" spans="2:34"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U3" s="49" t="s">
        <v>1158</v>
      </c>
      <c r="V3" s="49"/>
      <c r="W3" s="49" t="s">
        <v>499</v>
      </c>
      <c r="X3" s="49" t="s">
        <v>426</v>
      </c>
      <c r="Y3" s="49"/>
      <c r="Z3" s="49" t="s">
        <v>1159</v>
      </c>
      <c r="AA3" s="49"/>
      <c r="AB3" s="49"/>
      <c r="AC3" s="49"/>
      <c r="AD3" s="49"/>
      <c r="AE3" s="49"/>
      <c r="AF3" s="49"/>
      <c r="AG3" s="49"/>
      <c r="AH3" s="49"/>
    </row>
    <row r="4" spans="2:34">
      <c r="B4" s="48" t="s">
        <v>489</v>
      </c>
      <c r="C4" s="48"/>
      <c r="D4" s="48"/>
      <c r="E4" s="48"/>
      <c r="F4" s="48"/>
      <c r="G4" s="48"/>
      <c r="H4" s="48"/>
      <c r="I4" s="48"/>
      <c r="J4" s="48"/>
      <c r="K4" s="48" t="s">
        <v>422</v>
      </c>
      <c r="L4" s="48"/>
      <c r="M4" s="48"/>
      <c r="N4" s="48"/>
      <c r="O4" s="48"/>
      <c r="P4" s="48"/>
      <c r="Q4" s="48"/>
      <c r="R4" s="48"/>
      <c r="S4" s="48"/>
      <c r="U4" s="49">
        <v>1</v>
      </c>
      <c r="V4" s="49" t="s">
        <v>1160</v>
      </c>
      <c r="W4" s="49">
        <v>1.21</v>
      </c>
      <c r="X4" s="49">
        <v>-0.67</v>
      </c>
      <c r="Y4" s="49"/>
      <c r="Z4" s="49" t="s">
        <v>1161</v>
      </c>
      <c r="AA4" s="49" t="s">
        <v>1162</v>
      </c>
      <c r="AB4" s="49" t="s">
        <v>606</v>
      </c>
      <c r="AC4" s="49" t="s">
        <v>608</v>
      </c>
      <c r="AD4" s="50" t="s">
        <v>1163</v>
      </c>
      <c r="AE4" s="49"/>
      <c r="AF4" s="49"/>
      <c r="AG4" s="49"/>
      <c r="AH4" s="49"/>
    </row>
    <row r="5" spans="2:34">
      <c r="B5" s="48"/>
      <c r="C5" s="48"/>
      <c r="D5" s="48" t="s">
        <v>490</v>
      </c>
      <c r="E5" s="48" t="s">
        <v>491</v>
      </c>
      <c r="F5" s="48" t="s">
        <v>492</v>
      </c>
      <c r="G5" s="48" t="s">
        <v>493</v>
      </c>
      <c r="H5" s="48" t="s">
        <v>494</v>
      </c>
      <c r="I5" s="48" t="s">
        <v>495</v>
      </c>
      <c r="J5" s="48"/>
      <c r="K5" s="48"/>
      <c r="L5" s="48" t="s">
        <v>377</v>
      </c>
      <c r="M5" s="48" t="s">
        <v>425</v>
      </c>
      <c r="N5" s="48" t="s">
        <v>426</v>
      </c>
      <c r="O5" s="48" t="s">
        <v>427</v>
      </c>
      <c r="P5" s="48" t="s">
        <v>425</v>
      </c>
      <c r="Q5" s="48" t="s">
        <v>426</v>
      </c>
      <c r="R5" s="48" t="s">
        <v>428</v>
      </c>
      <c r="S5" s="48" t="s">
        <v>429</v>
      </c>
      <c r="U5" s="49">
        <v>2</v>
      </c>
      <c r="V5" s="49" t="s">
        <v>1164</v>
      </c>
      <c r="W5" s="49">
        <v>2</v>
      </c>
      <c r="X5" s="49">
        <v>-0.217</v>
      </c>
      <c r="Y5" s="49">
        <v>1</v>
      </c>
      <c r="Z5" s="49">
        <v>1006</v>
      </c>
      <c r="AA5" s="49" t="s">
        <v>1165</v>
      </c>
      <c r="AB5" s="49">
        <v>43</v>
      </c>
      <c r="AC5" s="49">
        <v>24</v>
      </c>
      <c r="AD5" s="49"/>
      <c r="AE5" s="51" t="str">
        <f t="shared" ref="AE5:AE47" si="0">CONCATENATE(Z5,AA5,",Su=",AB5,",Sy=",AC5,",σ,f=",IF(AD5,AD5,"n/a"))</f>
        <v>1006HR,Su=43,Sy=24,σ,f=n/a</v>
      </c>
      <c r="AF5" s="49"/>
      <c r="AG5" s="49"/>
      <c r="AH5" s="49"/>
    </row>
    <row r="6" spans="2:34">
      <c r="B6" s="48">
        <v>1</v>
      </c>
      <c r="C6" s="48" t="s">
        <v>490</v>
      </c>
      <c r="D6" s="48">
        <v>2300</v>
      </c>
      <c r="E6" s="48">
        <v>2180</v>
      </c>
      <c r="F6" s="48">
        <v>2160</v>
      </c>
      <c r="G6" s="48">
        <v>2100</v>
      </c>
      <c r="H6" s="48">
        <v>1950</v>
      </c>
      <c r="I6" s="48">
        <v>1900</v>
      </c>
      <c r="J6" s="48"/>
      <c r="K6" s="48">
        <v>1</v>
      </c>
      <c r="L6" s="48" t="s">
        <v>432</v>
      </c>
      <c r="M6" s="48">
        <v>77.3</v>
      </c>
      <c r="N6" s="48">
        <v>12800</v>
      </c>
      <c r="O6" s="48"/>
      <c r="P6" s="48">
        <v>322</v>
      </c>
      <c r="Q6" s="48">
        <v>29100</v>
      </c>
      <c r="R6" s="48"/>
      <c r="S6" s="48"/>
      <c r="U6" s="49">
        <v>3</v>
      </c>
      <c r="V6" s="49" t="s">
        <v>1165</v>
      </c>
      <c r="W6" s="49">
        <v>11</v>
      </c>
      <c r="X6" s="49">
        <v>-0.65</v>
      </c>
      <c r="Y6" s="49">
        <v>2</v>
      </c>
      <c r="Z6" s="49">
        <v>1006</v>
      </c>
      <c r="AA6" s="49" t="s">
        <v>1166</v>
      </c>
      <c r="AB6" s="49">
        <v>48</v>
      </c>
      <c r="AC6" s="49">
        <v>41</v>
      </c>
      <c r="AD6" s="49"/>
      <c r="AE6" s="51" t="str">
        <f t="shared" si="0"/>
        <v>1006CD,Su=48,Sy=41,σ,f=n/a</v>
      </c>
      <c r="AF6" s="49"/>
      <c r="AG6" s="49"/>
      <c r="AH6" s="49"/>
    </row>
    <row r="7" spans="2:34">
      <c r="B7" s="48">
        <v>2</v>
      </c>
      <c r="C7" s="48" t="s">
        <v>491</v>
      </c>
      <c r="D7" s="48">
        <v>2180</v>
      </c>
      <c r="E7" s="48">
        <v>2090</v>
      </c>
      <c r="F7" s="48">
        <v>2070</v>
      </c>
      <c r="G7" s="48">
        <v>2020</v>
      </c>
      <c r="H7" s="48">
        <v>1900</v>
      </c>
      <c r="I7" s="48">
        <v>1850</v>
      </c>
      <c r="J7" s="48"/>
      <c r="K7" s="48">
        <v>2</v>
      </c>
      <c r="L7" s="48" t="s">
        <v>434</v>
      </c>
      <c r="M7" s="48">
        <v>102</v>
      </c>
      <c r="N7" s="48">
        <v>16400</v>
      </c>
      <c r="O7" s="48"/>
      <c r="P7" s="48">
        <v>349</v>
      </c>
      <c r="Q7" s="48">
        <v>34300</v>
      </c>
      <c r="R7" s="48"/>
      <c r="S7" s="48"/>
      <c r="U7" s="49">
        <v>4</v>
      </c>
      <c r="V7" s="49" t="s">
        <v>1167</v>
      </c>
      <c r="W7" s="49">
        <v>12.7</v>
      </c>
      <c r="X7" s="49">
        <v>-0.75800000000000001</v>
      </c>
      <c r="Y7" s="49">
        <v>3</v>
      </c>
      <c r="Z7" s="49">
        <v>1010</v>
      </c>
      <c r="AA7" s="49" t="s">
        <v>1165</v>
      </c>
      <c r="AB7" s="49">
        <v>47</v>
      </c>
      <c r="AC7" s="49">
        <v>26</v>
      </c>
      <c r="AD7" s="49"/>
      <c r="AE7" s="51" t="str">
        <f t="shared" si="0"/>
        <v>1010HR,Su=47,Sy=26,σ,f=n/a</v>
      </c>
      <c r="AF7" s="49"/>
      <c r="AG7" s="49"/>
      <c r="AH7" s="49"/>
    </row>
    <row r="8" spans="2:34">
      <c r="B8" s="48">
        <v>3</v>
      </c>
      <c r="C8" s="48" t="s">
        <v>492</v>
      </c>
      <c r="D8" s="48">
        <v>2160</v>
      </c>
      <c r="E8" s="48">
        <v>2070</v>
      </c>
      <c r="F8" s="48">
        <v>2050</v>
      </c>
      <c r="G8" s="48">
        <v>2000</v>
      </c>
      <c r="H8" s="48">
        <v>1880</v>
      </c>
      <c r="I8" s="48">
        <v>1830</v>
      </c>
      <c r="J8" s="48"/>
      <c r="K8" s="48">
        <v>3</v>
      </c>
      <c r="L8" s="48" t="s">
        <v>437</v>
      </c>
      <c r="M8" s="48">
        <v>82.3</v>
      </c>
      <c r="N8" s="48">
        <v>12150</v>
      </c>
      <c r="O8" s="48"/>
      <c r="P8" s="48"/>
      <c r="Q8" s="48"/>
      <c r="R8" s="48">
        <v>150000</v>
      </c>
      <c r="S8" s="48"/>
      <c r="U8" s="49"/>
      <c r="V8" s="49"/>
      <c r="W8" s="49"/>
      <c r="X8" s="49"/>
      <c r="Y8" s="49">
        <v>4</v>
      </c>
      <c r="Z8" s="49">
        <v>1010</v>
      </c>
      <c r="AA8" s="49" t="s">
        <v>1166</v>
      </c>
      <c r="AB8" s="49">
        <v>53</v>
      </c>
      <c r="AC8" s="49">
        <v>44</v>
      </c>
      <c r="AD8" s="49"/>
      <c r="AE8" s="51" t="str">
        <f t="shared" si="0"/>
        <v>1010CD,Su=53,Sy=44,σ,f=n/a</v>
      </c>
      <c r="AF8" s="49"/>
      <c r="AG8" s="49"/>
      <c r="AH8" s="49"/>
    </row>
    <row r="9" spans="2:34">
      <c r="B9" s="48">
        <v>4</v>
      </c>
      <c r="C9" s="48" t="s">
        <v>493</v>
      </c>
      <c r="D9" s="48">
        <v>2100</v>
      </c>
      <c r="E9" s="48">
        <v>2020</v>
      </c>
      <c r="F9" s="48">
        <v>2000</v>
      </c>
      <c r="G9" s="48">
        <v>1960</v>
      </c>
      <c r="H9" s="48">
        <v>1850</v>
      </c>
      <c r="I9" s="48">
        <v>1800</v>
      </c>
      <c r="J9" s="48"/>
      <c r="K9" s="48">
        <v>4</v>
      </c>
      <c r="L9" s="48" t="s">
        <v>439</v>
      </c>
      <c r="M9" s="48">
        <v>108.6</v>
      </c>
      <c r="N9" s="48">
        <v>15890</v>
      </c>
      <c r="O9" s="48"/>
      <c r="P9" s="48"/>
      <c r="Q9" s="48"/>
      <c r="R9" s="48">
        <v>163000</v>
      </c>
      <c r="S9" s="48"/>
      <c r="U9" s="49" t="s">
        <v>1168</v>
      </c>
      <c r="V9" s="49"/>
      <c r="W9" s="49"/>
      <c r="X9" s="49"/>
      <c r="Y9" s="49">
        <v>5</v>
      </c>
      <c r="Z9" s="49">
        <v>1015</v>
      </c>
      <c r="AA9" s="49" t="s">
        <v>1165</v>
      </c>
      <c r="AB9" s="49">
        <v>50</v>
      </c>
      <c r="AC9" s="49">
        <v>27.5</v>
      </c>
      <c r="AD9" s="49"/>
      <c r="AE9" s="51" t="str">
        <f t="shared" si="0"/>
        <v>1015HR,Su=50,Sy=27.5,σ,f=n/a</v>
      </c>
      <c r="AF9" s="49"/>
      <c r="AG9" s="49"/>
      <c r="AH9" s="49"/>
    </row>
    <row r="10" spans="2:34">
      <c r="B10" s="48">
        <v>5</v>
      </c>
      <c r="C10" s="48" t="s">
        <v>494</v>
      </c>
      <c r="D10" s="48">
        <v>1950</v>
      </c>
      <c r="E10" s="48">
        <v>1900</v>
      </c>
      <c r="F10" s="48">
        <v>1880</v>
      </c>
      <c r="G10" s="48">
        <v>1850</v>
      </c>
      <c r="H10" s="48">
        <v>1750</v>
      </c>
      <c r="I10" s="48">
        <v>1700</v>
      </c>
      <c r="J10" s="48"/>
      <c r="K10" s="48">
        <v>5</v>
      </c>
      <c r="L10" s="48" t="s">
        <v>442</v>
      </c>
      <c r="M10" s="48">
        <v>86.2</v>
      </c>
      <c r="N10" s="48">
        <v>12730</v>
      </c>
      <c r="O10" s="48"/>
      <c r="P10" s="48"/>
      <c r="Q10" s="48"/>
      <c r="R10" s="48">
        <v>170000</v>
      </c>
      <c r="S10" s="48"/>
      <c r="U10" s="49"/>
      <c r="V10" s="49" t="s">
        <v>1168</v>
      </c>
      <c r="W10" s="49" t="s">
        <v>1169</v>
      </c>
      <c r="X10" s="49"/>
      <c r="Y10" s="49">
        <v>6</v>
      </c>
      <c r="Z10" s="49">
        <v>1015</v>
      </c>
      <c r="AA10" s="49" t="s">
        <v>1166</v>
      </c>
      <c r="AB10" s="49">
        <v>56</v>
      </c>
      <c r="AC10" s="49">
        <v>47</v>
      </c>
      <c r="AD10" s="49"/>
      <c r="AE10" s="51" t="str">
        <f t="shared" si="0"/>
        <v>1015CD,Su=56,Sy=47,σ,f=n/a</v>
      </c>
      <c r="AF10" s="49"/>
      <c r="AG10" s="49"/>
      <c r="AH10" s="49"/>
    </row>
    <row r="11" spans="2:34">
      <c r="B11" s="48">
        <v>6</v>
      </c>
      <c r="C11" s="48" t="s">
        <v>495</v>
      </c>
      <c r="D11" s="48">
        <v>1900</v>
      </c>
      <c r="E11" s="48">
        <v>1850</v>
      </c>
      <c r="F11" s="48">
        <v>1830</v>
      </c>
      <c r="G11" s="48">
        <v>1800</v>
      </c>
      <c r="H11" s="48">
        <v>1700</v>
      </c>
      <c r="I11" s="48">
        <v>1650</v>
      </c>
      <c r="J11" s="48"/>
      <c r="K11" s="48">
        <v>6</v>
      </c>
      <c r="L11" s="48" t="s">
        <v>445</v>
      </c>
      <c r="M11" s="48">
        <v>113.8</v>
      </c>
      <c r="N11" s="48">
        <v>16650</v>
      </c>
      <c r="O11" s="48"/>
      <c r="P11" s="48"/>
      <c r="Q11" s="48"/>
      <c r="R11" s="48">
        <v>183000</v>
      </c>
      <c r="S11" s="48"/>
      <c r="U11" s="49">
        <v>1</v>
      </c>
      <c r="V11" s="49">
        <v>0.5</v>
      </c>
      <c r="W11" s="49">
        <v>1</v>
      </c>
      <c r="X11" s="49"/>
      <c r="Y11" s="49">
        <v>7</v>
      </c>
      <c r="Z11" s="49">
        <v>1018</v>
      </c>
      <c r="AA11" s="49" t="s">
        <v>1165</v>
      </c>
      <c r="AB11" s="49">
        <v>58</v>
      </c>
      <c r="AC11" s="49">
        <v>32</v>
      </c>
      <c r="AD11" s="49"/>
      <c r="AE11" s="51" t="str">
        <f t="shared" si="0"/>
        <v>1018HR,Su=58,Sy=32,σ,f=n/a</v>
      </c>
      <c r="AF11" s="49"/>
      <c r="AG11" s="49"/>
      <c r="AH11" s="49"/>
    </row>
    <row r="12" spans="2:34">
      <c r="B12" s="48"/>
      <c r="C12" s="48"/>
      <c r="D12" s="48"/>
      <c r="E12" s="48"/>
      <c r="F12" s="48"/>
      <c r="G12" s="48"/>
      <c r="H12" s="48"/>
      <c r="I12" s="48"/>
      <c r="J12" s="48"/>
      <c r="K12" s="48">
        <v>7</v>
      </c>
      <c r="L12" s="48" t="s">
        <v>448</v>
      </c>
      <c r="M12" s="48">
        <v>105.2</v>
      </c>
      <c r="N12" s="48">
        <v>9280</v>
      </c>
      <c r="O12" s="48"/>
      <c r="P12" s="48"/>
      <c r="Q12" s="48"/>
      <c r="R12" s="48">
        <v>155000</v>
      </c>
      <c r="S12" s="48"/>
      <c r="U12" s="49">
        <v>2</v>
      </c>
      <c r="V12" s="49">
        <v>0.9</v>
      </c>
      <c r="W12" s="49">
        <v>0.89700000000000002</v>
      </c>
      <c r="X12" s="49"/>
      <c r="Y12" s="49">
        <v>8</v>
      </c>
      <c r="Z12" s="49">
        <v>1018</v>
      </c>
      <c r="AA12" s="49" t="s">
        <v>1166</v>
      </c>
      <c r="AB12" s="49">
        <v>64</v>
      </c>
      <c r="AC12" s="49">
        <v>54</v>
      </c>
      <c r="AD12" s="49"/>
      <c r="AE12" s="51" t="str">
        <f t="shared" si="0"/>
        <v>1018CD,Su=64,Sy=54,σ,f=n/a</v>
      </c>
      <c r="AF12" s="49"/>
      <c r="AG12" s="49"/>
      <c r="AH12" s="49"/>
    </row>
    <row r="13" spans="2:34">
      <c r="B13" s="48"/>
      <c r="C13" s="48" t="s">
        <v>1170</v>
      </c>
      <c r="D13" s="48"/>
      <c r="E13" s="48"/>
      <c r="F13" s="48"/>
      <c r="G13" s="48"/>
      <c r="H13" s="48"/>
      <c r="I13" s="48"/>
      <c r="J13" s="48"/>
      <c r="K13" s="48">
        <v>8</v>
      </c>
      <c r="L13" s="48" t="s">
        <v>451</v>
      </c>
      <c r="M13" s="48">
        <v>105.2</v>
      </c>
      <c r="N13" s="48">
        <v>22280</v>
      </c>
      <c r="O13" s="48"/>
      <c r="P13" s="48"/>
      <c r="Q13" s="48"/>
      <c r="R13" s="48">
        <v>172000</v>
      </c>
      <c r="S13" s="48"/>
      <c r="U13" s="49">
        <v>3</v>
      </c>
      <c r="V13" s="49">
        <v>0.95</v>
      </c>
      <c r="W13" s="49">
        <v>0.86799999999999999</v>
      </c>
      <c r="X13" s="49"/>
      <c r="Y13" s="49">
        <v>9</v>
      </c>
      <c r="Z13" s="49">
        <v>1018</v>
      </c>
      <c r="AA13" s="49" t="s">
        <v>1171</v>
      </c>
      <c r="AB13" s="49">
        <v>49.5</v>
      </c>
      <c r="AC13" s="49">
        <v>32</v>
      </c>
      <c r="AD13" s="49">
        <v>91.1</v>
      </c>
      <c r="AE13" s="51" t="str">
        <f t="shared" si="0"/>
        <v>1018Annealed,Su=49.5,Sy=32,σ,f=91.1</v>
      </c>
      <c r="AF13" s="49"/>
      <c r="AG13" s="49"/>
      <c r="AH13" s="49"/>
    </row>
    <row r="14" spans="2:34">
      <c r="B14" s="48"/>
      <c r="C14" s="48" t="s">
        <v>1172</v>
      </c>
      <c r="D14" s="48" t="s">
        <v>364</v>
      </c>
      <c r="E14" s="48" t="s">
        <v>369</v>
      </c>
      <c r="F14" s="48" t="s">
        <v>1173</v>
      </c>
      <c r="G14" s="48"/>
      <c r="H14" s="48"/>
      <c r="I14" s="48"/>
      <c r="J14" s="48"/>
      <c r="K14" s="48">
        <v>9</v>
      </c>
      <c r="L14" s="48" t="s">
        <v>453</v>
      </c>
      <c r="M14" s="48">
        <v>105.2</v>
      </c>
      <c r="N14" s="48">
        <v>29280</v>
      </c>
      <c r="O14" s="48"/>
      <c r="P14" s="48"/>
      <c r="Q14" s="48"/>
      <c r="R14" s="48">
        <v>189000</v>
      </c>
      <c r="S14" s="48"/>
      <c r="U14" s="49">
        <v>4</v>
      </c>
      <c r="V14" s="49">
        <v>0.99</v>
      </c>
      <c r="W14" s="49">
        <v>0.81399999999999995</v>
      </c>
      <c r="X14" s="49"/>
      <c r="Y14" s="49">
        <v>10</v>
      </c>
      <c r="Z14" s="49">
        <v>1020</v>
      </c>
      <c r="AA14" s="49" t="s">
        <v>1165</v>
      </c>
      <c r="AB14" s="49">
        <v>55</v>
      </c>
      <c r="AC14" s="49">
        <v>30</v>
      </c>
      <c r="AD14" s="49">
        <v>112</v>
      </c>
      <c r="AE14" s="51" t="str">
        <f t="shared" si="0"/>
        <v>1020HR,Su=55,Sy=30,σ,f=112</v>
      </c>
      <c r="AF14" s="49"/>
      <c r="AG14" s="49"/>
      <c r="AH14" s="49"/>
    </row>
    <row r="15" spans="2:34">
      <c r="B15" s="48">
        <v>1</v>
      </c>
      <c r="C15" s="48" t="s">
        <v>364</v>
      </c>
      <c r="D15" s="48">
        <v>1</v>
      </c>
      <c r="E15" s="48">
        <v>1.25</v>
      </c>
      <c r="F15" s="48">
        <v>1.5</v>
      </c>
      <c r="G15" s="48"/>
      <c r="H15" s="48"/>
      <c r="I15" s="48"/>
      <c r="J15" s="48"/>
      <c r="K15" s="48">
        <v>10</v>
      </c>
      <c r="L15" s="48" t="s">
        <v>456</v>
      </c>
      <c r="M15" s="48"/>
      <c r="N15" s="48"/>
      <c r="O15" s="48">
        <v>65000</v>
      </c>
      <c r="P15" s="48"/>
      <c r="Q15" s="48"/>
      <c r="R15" s="48">
        <v>225000</v>
      </c>
      <c r="S15" s="48"/>
      <c r="U15" s="49">
        <v>5</v>
      </c>
      <c r="V15" s="49">
        <v>0.999</v>
      </c>
      <c r="W15" s="49">
        <v>0.753</v>
      </c>
      <c r="X15" s="49"/>
      <c r="Y15" s="49">
        <v>11</v>
      </c>
      <c r="Z15" s="49">
        <v>1020</v>
      </c>
      <c r="AA15" s="49" t="s">
        <v>1166</v>
      </c>
      <c r="AB15" s="49">
        <v>68</v>
      </c>
      <c r="AC15" s="49">
        <v>57</v>
      </c>
      <c r="AD15" s="49"/>
      <c r="AE15" s="51" t="str">
        <f t="shared" si="0"/>
        <v>1020CD,Su=68,Sy=57,σ,f=n/a</v>
      </c>
      <c r="AF15" s="49"/>
      <c r="AG15" s="49"/>
      <c r="AH15" s="49"/>
    </row>
    <row r="16" spans="2:34">
      <c r="B16" s="48">
        <v>2</v>
      </c>
      <c r="C16" s="48" t="s">
        <v>369</v>
      </c>
      <c r="D16" s="48">
        <v>1.25</v>
      </c>
      <c r="E16" s="48">
        <v>1.5</v>
      </c>
      <c r="F16" s="48">
        <v>1.75</v>
      </c>
      <c r="G16" s="48"/>
      <c r="H16" s="48"/>
      <c r="I16" s="48"/>
      <c r="J16" s="48"/>
      <c r="K16" s="48">
        <v>11</v>
      </c>
      <c r="L16" s="48" t="s">
        <v>458</v>
      </c>
      <c r="M16" s="48"/>
      <c r="N16" s="48"/>
      <c r="O16" s="48">
        <v>5000</v>
      </c>
      <c r="P16" s="48"/>
      <c r="Q16" s="48"/>
      <c r="R16" s="48">
        <v>50000</v>
      </c>
      <c r="S16" s="48">
        <v>170</v>
      </c>
      <c r="U16" s="49">
        <v>6</v>
      </c>
      <c r="V16" s="49">
        <v>0.99990000000000001</v>
      </c>
      <c r="W16" s="49">
        <v>0.70199999999999996</v>
      </c>
      <c r="X16" s="49"/>
      <c r="Y16" s="49">
        <v>12</v>
      </c>
      <c r="Z16" s="49">
        <v>1030</v>
      </c>
      <c r="AA16" s="49" t="s">
        <v>1165</v>
      </c>
      <c r="AB16" s="49">
        <v>68</v>
      </c>
      <c r="AC16" s="49">
        <v>37.5</v>
      </c>
      <c r="AD16" s="49"/>
      <c r="AE16" s="51" t="str">
        <f t="shared" si="0"/>
        <v>1030HR,Su=68,Sy=37.5,σ,f=n/a</v>
      </c>
      <c r="AF16" s="49"/>
      <c r="AG16" s="49"/>
      <c r="AH16" s="49"/>
    </row>
    <row r="17" spans="2:34">
      <c r="B17" s="48">
        <v>3</v>
      </c>
      <c r="C17" s="48" t="s">
        <v>1173</v>
      </c>
      <c r="D17" s="48">
        <v>1.5</v>
      </c>
      <c r="E17" s="48">
        <v>1.75</v>
      </c>
      <c r="F17" s="48">
        <v>2.25</v>
      </c>
      <c r="G17" s="48"/>
      <c r="H17" s="48"/>
      <c r="I17" s="48"/>
      <c r="J17" s="48"/>
      <c r="K17" s="48">
        <v>12</v>
      </c>
      <c r="L17" s="48" t="s">
        <v>460</v>
      </c>
      <c r="M17" s="48"/>
      <c r="N17" s="48"/>
      <c r="O17" s="48">
        <v>8500</v>
      </c>
      <c r="P17" s="48"/>
      <c r="Q17" s="48"/>
      <c r="R17" s="48">
        <v>65000</v>
      </c>
      <c r="S17" s="48">
        <v>174</v>
      </c>
      <c r="U17" s="49"/>
      <c r="V17" s="49"/>
      <c r="W17" s="49"/>
      <c r="X17" s="49"/>
      <c r="Y17" s="49">
        <v>13</v>
      </c>
      <c r="Z17" s="49">
        <v>1030</v>
      </c>
      <c r="AA17" s="49" t="s">
        <v>1166</v>
      </c>
      <c r="AB17" s="49">
        <v>76</v>
      </c>
      <c r="AC17" s="49">
        <v>64</v>
      </c>
      <c r="AD17" s="49"/>
      <c r="AE17" s="51" t="str">
        <f t="shared" si="0"/>
        <v>1030CD,Su=76,Sy=64,σ,f=n/a</v>
      </c>
      <c r="AF17" s="49"/>
      <c r="AG17" s="49"/>
      <c r="AH17" s="49"/>
    </row>
    <row r="18" spans="2:34">
      <c r="B18" s="48"/>
      <c r="C18" s="48"/>
      <c r="D18" s="48"/>
      <c r="E18" s="48"/>
      <c r="F18" s="48"/>
      <c r="G18" s="48"/>
      <c r="H18" s="48"/>
      <c r="I18" s="48"/>
      <c r="J18" s="48"/>
      <c r="K18" s="48">
        <v>13</v>
      </c>
      <c r="L18" s="48" t="s">
        <v>462</v>
      </c>
      <c r="M18" s="48"/>
      <c r="N18" s="48"/>
      <c r="O18" s="48">
        <v>13000</v>
      </c>
      <c r="P18" s="48"/>
      <c r="Q18" s="48"/>
      <c r="R18" s="48">
        <v>75000</v>
      </c>
      <c r="S18" s="48">
        <v>200</v>
      </c>
      <c r="U18" s="49" t="s">
        <v>1174</v>
      </c>
      <c r="V18" s="49"/>
      <c r="W18" s="49"/>
      <c r="X18" s="49"/>
      <c r="Y18" s="49">
        <v>14</v>
      </c>
      <c r="Z18" s="49">
        <v>1030</v>
      </c>
      <c r="AA18" s="49" t="s">
        <v>1175</v>
      </c>
      <c r="AB18" s="49">
        <v>85</v>
      </c>
      <c r="AC18" s="49">
        <v>64</v>
      </c>
      <c r="AD18" s="49"/>
      <c r="AE18" s="51" t="str">
        <f t="shared" si="0"/>
        <v>1030Q&amp;T 650,Su=85,Sy=64,σ,f=n/a</v>
      </c>
      <c r="AF18" s="49"/>
      <c r="AG18" s="49"/>
      <c r="AH18" s="49"/>
    </row>
    <row r="19" spans="2:34">
      <c r="B19" s="48"/>
      <c r="C19" s="48"/>
      <c r="D19" s="48"/>
      <c r="E19" s="48"/>
      <c r="F19" s="48"/>
      <c r="G19" s="48"/>
      <c r="H19" s="48"/>
      <c r="I19" s="48"/>
      <c r="J19" s="48"/>
      <c r="K19" s="48">
        <v>14</v>
      </c>
      <c r="L19" s="48" t="s">
        <v>464</v>
      </c>
      <c r="M19" s="48"/>
      <c r="N19" s="48"/>
      <c r="O19" s="48">
        <v>22000</v>
      </c>
      <c r="P19" s="48"/>
      <c r="Q19" s="48"/>
      <c r="R19" s="48">
        <v>77000</v>
      </c>
      <c r="S19" s="48">
        <v>140</v>
      </c>
      <c r="U19" s="49">
        <v>1</v>
      </c>
      <c r="V19" s="49" t="s">
        <v>1176</v>
      </c>
      <c r="W19" s="49">
        <v>1</v>
      </c>
      <c r="X19" s="49"/>
      <c r="Y19" s="49">
        <v>15</v>
      </c>
      <c r="Z19" s="49">
        <v>1030</v>
      </c>
      <c r="AA19" s="49" t="s">
        <v>1177</v>
      </c>
      <c r="AB19" s="49">
        <v>75</v>
      </c>
      <c r="AC19" s="49">
        <v>50</v>
      </c>
      <c r="AD19" s="49"/>
      <c r="AE19" s="51" t="str">
        <f t="shared" si="0"/>
        <v>1030Normalized,Su=75,Sy=50,σ,f=n/a</v>
      </c>
      <c r="AF19" s="49"/>
      <c r="AG19" s="49"/>
      <c r="AH19" s="49"/>
    </row>
    <row r="20" spans="2:34">
      <c r="B20" s="48"/>
      <c r="C20" s="48"/>
      <c r="D20" s="48"/>
      <c r="E20" s="48"/>
      <c r="F20" s="48"/>
      <c r="G20" s="48"/>
      <c r="H20" s="48"/>
      <c r="I20" s="48"/>
      <c r="J20" s="48"/>
      <c r="K20" s="48">
        <v>15</v>
      </c>
      <c r="L20" s="48" t="s">
        <v>467</v>
      </c>
      <c r="M20" s="48"/>
      <c r="N20" s="48"/>
      <c r="O20" s="48">
        <v>27000</v>
      </c>
      <c r="P20" s="48"/>
      <c r="Q20" s="48"/>
      <c r="R20" s="48">
        <v>92000</v>
      </c>
      <c r="S20" s="48">
        <v>229</v>
      </c>
      <c r="U20" s="49">
        <v>2</v>
      </c>
      <c r="V20" s="49" t="s">
        <v>1178</v>
      </c>
      <c r="W20" s="49">
        <v>0.85</v>
      </c>
      <c r="X20" s="49"/>
      <c r="Y20" s="49">
        <v>16</v>
      </c>
      <c r="Z20" s="49">
        <v>1030</v>
      </c>
      <c r="AA20" s="49" t="s">
        <v>1171</v>
      </c>
      <c r="AB20" s="49">
        <v>62</v>
      </c>
      <c r="AC20" s="49">
        <v>46</v>
      </c>
      <c r="AD20" s="49"/>
      <c r="AE20" s="51" t="str">
        <f t="shared" si="0"/>
        <v>1030Annealed,Su=62,Sy=46,σ,f=n/a</v>
      </c>
      <c r="AF20" s="49"/>
      <c r="AG20" s="49"/>
      <c r="AH20" s="49"/>
    </row>
    <row r="21" spans="2:34">
      <c r="B21" s="48"/>
      <c r="C21" s="48"/>
      <c r="D21" s="48"/>
      <c r="E21" s="48"/>
      <c r="F21" s="48"/>
      <c r="G21" s="48"/>
      <c r="H21" s="48"/>
      <c r="I21" s="48"/>
      <c r="J21" s="48"/>
      <c r="K21" s="48">
        <v>16</v>
      </c>
      <c r="L21" s="48" t="s">
        <v>469</v>
      </c>
      <c r="M21" s="48"/>
      <c r="N21" s="48"/>
      <c r="O21" s="48">
        <v>31000</v>
      </c>
      <c r="P21" s="48"/>
      <c r="Q21" s="48"/>
      <c r="R21" s="48">
        <v>103000</v>
      </c>
      <c r="S21" s="48">
        <v>269</v>
      </c>
      <c r="U21" s="49">
        <v>3</v>
      </c>
      <c r="V21" s="49" t="s">
        <v>1179</v>
      </c>
      <c r="W21" s="49">
        <v>0.59</v>
      </c>
      <c r="X21" s="49"/>
      <c r="Y21" s="49">
        <v>17</v>
      </c>
      <c r="Z21" s="49">
        <v>1035</v>
      </c>
      <c r="AA21" s="49" t="s">
        <v>1165</v>
      </c>
      <c r="AB21" s="49">
        <v>72</v>
      </c>
      <c r="AC21" s="49">
        <v>39.5</v>
      </c>
      <c r="AD21" s="49"/>
      <c r="AE21" s="51" t="str">
        <f t="shared" si="0"/>
        <v>1035HR,Su=72,Sy=39.5,σ,f=n/a</v>
      </c>
      <c r="AF21" s="49"/>
      <c r="AG21" s="49"/>
      <c r="AH21" s="49"/>
    </row>
    <row r="22" spans="2:34">
      <c r="B22" s="48"/>
      <c r="C22" s="48"/>
      <c r="D22" s="48"/>
      <c r="E22" s="48"/>
      <c r="F22" s="48"/>
      <c r="G22" s="48"/>
      <c r="H22" s="48"/>
      <c r="I22" s="48"/>
      <c r="J22" s="48"/>
      <c r="K22" s="48">
        <v>17</v>
      </c>
      <c r="L22" s="48" t="s">
        <v>471</v>
      </c>
      <c r="M22" s="48"/>
      <c r="N22" s="48"/>
      <c r="O22" s="48">
        <v>5700</v>
      </c>
      <c r="P22" s="48"/>
      <c r="Q22" s="48"/>
      <c r="R22" s="48">
        <v>30000</v>
      </c>
      <c r="S22" s="48"/>
      <c r="U22" s="49">
        <v>4</v>
      </c>
      <c r="V22" s="49" t="s">
        <v>1180</v>
      </c>
      <c r="W22" s="49">
        <v>1</v>
      </c>
      <c r="X22" s="49"/>
      <c r="Y22" s="49">
        <v>18</v>
      </c>
      <c r="Z22" s="49">
        <v>1035</v>
      </c>
      <c r="AA22" s="49" t="s">
        <v>1166</v>
      </c>
      <c r="AB22" s="49">
        <v>80</v>
      </c>
      <c r="AC22" s="49">
        <v>67</v>
      </c>
      <c r="AD22" s="49"/>
      <c r="AE22" s="51" t="str">
        <f t="shared" si="0"/>
        <v>1035CD,Su=80,Sy=67,σ,f=n/a</v>
      </c>
      <c r="AF22" s="49"/>
      <c r="AG22" s="49"/>
      <c r="AH22" s="49"/>
    </row>
    <row r="23" spans="2:34">
      <c r="B23" s="48"/>
      <c r="C23" s="48"/>
      <c r="D23" s="48"/>
      <c r="E23" s="48"/>
      <c r="F23" s="48"/>
      <c r="G23" s="48"/>
      <c r="H23" s="48"/>
      <c r="I23" s="48"/>
      <c r="J23" s="48"/>
      <c r="K23" s="48">
        <v>18</v>
      </c>
      <c r="L23" s="48" t="s">
        <v>473</v>
      </c>
      <c r="M23" s="48"/>
      <c r="N23" s="48"/>
      <c r="O23" s="48">
        <v>23600</v>
      </c>
      <c r="P23" s="48"/>
      <c r="Q23" s="48"/>
      <c r="R23" s="48">
        <v>65000</v>
      </c>
      <c r="S23" s="48"/>
      <c r="U23" s="49"/>
      <c r="V23" s="49"/>
      <c r="W23" s="49"/>
      <c r="X23" s="49"/>
      <c r="Y23" s="49">
        <v>19</v>
      </c>
      <c r="Z23" s="49">
        <v>1040</v>
      </c>
      <c r="AA23" s="49" t="s">
        <v>1165</v>
      </c>
      <c r="AB23" s="49">
        <v>76</v>
      </c>
      <c r="AC23" s="49">
        <v>42</v>
      </c>
      <c r="AD23" s="49"/>
      <c r="AE23" s="51" t="str">
        <f t="shared" si="0"/>
        <v>1040HR,Su=76,Sy=42,σ,f=n/a</v>
      </c>
      <c r="AF23" s="49"/>
      <c r="AG23" s="49"/>
      <c r="AH23" s="49"/>
    </row>
    <row r="24" spans="2:34">
      <c r="B24" s="48"/>
      <c r="C24" s="48" t="s">
        <v>1181</v>
      </c>
      <c r="D24" s="48"/>
      <c r="E24" s="48"/>
      <c r="F24" s="48" t="s">
        <v>496</v>
      </c>
      <c r="G24" s="48"/>
      <c r="H24" s="48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  <c r="U24" s="49"/>
      <c r="V24" s="49"/>
      <c r="W24" s="49"/>
      <c r="X24" s="49"/>
      <c r="Y24" s="49">
        <v>20</v>
      </c>
      <c r="Z24" s="49">
        <v>1040</v>
      </c>
      <c r="AA24" s="49" t="s">
        <v>1166</v>
      </c>
      <c r="AB24" s="49">
        <v>85</v>
      </c>
      <c r="AC24" s="49">
        <v>71</v>
      </c>
      <c r="AD24" s="49"/>
      <c r="AE24" s="51" t="str">
        <f t="shared" si="0"/>
        <v>1040CD,Su=85,Sy=71,σ,f=n/a</v>
      </c>
      <c r="AF24" s="49"/>
      <c r="AG24" s="49"/>
      <c r="AH24" s="49"/>
    </row>
    <row r="25" spans="2:34">
      <c r="B25" s="48"/>
      <c r="C25" s="48" t="s">
        <v>1182</v>
      </c>
      <c r="D25" s="48"/>
      <c r="E25" s="48"/>
      <c r="F25" s="48"/>
      <c r="G25" s="52" t="s">
        <v>497</v>
      </c>
      <c r="H25" s="53">
        <v>1000</v>
      </c>
      <c r="I25" s="48"/>
      <c r="J25" s="53">
        <v>1200000</v>
      </c>
      <c r="K25" s="48"/>
      <c r="L25" s="48"/>
      <c r="M25" s="48" t="s">
        <v>498</v>
      </c>
      <c r="N25" s="48"/>
      <c r="O25" s="48"/>
      <c r="P25" s="48"/>
      <c r="Q25" s="48"/>
      <c r="R25" s="48"/>
      <c r="S25" s="48"/>
      <c r="U25" s="49"/>
      <c r="V25" s="49"/>
      <c r="W25" s="49"/>
      <c r="X25" s="49"/>
      <c r="Y25" s="49">
        <v>21</v>
      </c>
      <c r="Z25" s="49">
        <v>1040</v>
      </c>
      <c r="AA25" s="49" t="s">
        <v>1175</v>
      </c>
      <c r="AB25" s="49">
        <v>92</v>
      </c>
      <c r="AC25" s="49">
        <v>63</v>
      </c>
      <c r="AD25" s="49"/>
      <c r="AE25" s="51" t="str">
        <f t="shared" si="0"/>
        <v>1040Q&amp;T 650,Su=92,Sy=63,σ,f=n/a</v>
      </c>
      <c r="AF25" s="49"/>
      <c r="AG25" s="49"/>
      <c r="AH25" s="49"/>
    </row>
    <row r="26" spans="2:34">
      <c r="B26" s="48"/>
      <c r="C26" s="48">
        <v>12</v>
      </c>
      <c r="D26" s="54">
        <v>0.245</v>
      </c>
      <c r="E26" s="48"/>
      <c r="F26" s="48"/>
      <c r="G26" s="48"/>
      <c r="H26" s="48" t="s">
        <v>499</v>
      </c>
      <c r="I26" s="48" t="s">
        <v>426</v>
      </c>
      <c r="J26" s="48" t="s">
        <v>499</v>
      </c>
      <c r="K26" s="48" t="s">
        <v>426</v>
      </c>
      <c r="L26" s="48"/>
      <c r="M26" s="48"/>
      <c r="N26" s="48"/>
      <c r="O26" s="48"/>
      <c r="P26" s="48"/>
      <c r="Q26" s="48"/>
      <c r="R26" s="48"/>
      <c r="S26" s="48"/>
      <c r="U26" s="49"/>
      <c r="V26" s="49"/>
      <c r="W26" s="49"/>
      <c r="X26" s="49"/>
      <c r="Y26" s="49">
        <v>22</v>
      </c>
      <c r="Z26" s="49">
        <v>1040</v>
      </c>
      <c r="AA26" s="49" t="s">
        <v>1177</v>
      </c>
      <c r="AB26" s="49">
        <v>86</v>
      </c>
      <c r="AC26" s="49">
        <v>54</v>
      </c>
      <c r="AD26" s="49"/>
      <c r="AE26" s="51" t="str">
        <f t="shared" si="0"/>
        <v>1040Normalized,Su=86,Sy=54,σ,f=n/a</v>
      </c>
      <c r="AF26" s="49"/>
      <c r="AG26" s="49"/>
      <c r="AH26" s="49"/>
    </row>
    <row r="27" spans="2:34">
      <c r="B27" s="48"/>
      <c r="C27" s="48">
        <v>13</v>
      </c>
      <c r="D27" s="54">
        <v>0.26100000000000001</v>
      </c>
      <c r="E27" s="48"/>
      <c r="F27" s="48">
        <v>1</v>
      </c>
      <c r="G27" s="48" t="s">
        <v>500</v>
      </c>
      <c r="H27" s="48">
        <v>9.4518000000000004</v>
      </c>
      <c r="I27" s="48">
        <v>-0.14799999999999999</v>
      </c>
      <c r="J27" s="48">
        <v>1.3557999999999999</v>
      </c>
      <c r="K27" s="48">
        <v>-1.78E-2</v>
      </c>
      <c r="L27" s="48"/>
      <c r="M27" s="53">
        <f>H27*$H$25^I27</f>
        <v>3.4002787660250453</v>
      </c>
      <c r="N27" s="48"/>
      <c r="O27" s="48"/>
      <c r="P27" s="48"/>
      <c r="Q27" s="48"/>
      <c r="R27" s="48"/>
      <c r="S27" s="48"/>
      <c r="U27" s="49"/>
      <c r="V27" s="49"/>
      <c r="W27" s="49"/>
      <c r="X27" s="49"/>
      <c r="Y27" s="49">
        <v>23</v>
      </c>
      <c r="Z27" s="49">
        <v>1040</v>
      </c>
      <c r="AA27" s="49" t="s">
        <v>1171</v>
      </c>
      <c r="AB27" s="49">
        <v>75</v>
      </c>
      <c r="AC27" s="49">
        <v>51</v>
      </c>
      <c r="AD27" s="49"/>
      <c r="AE27" s="51" t="str">
        <f t="shared" si="0"/>
        <v>1040Annealed,Su=75,Sy=51,σ,f=n/a</v>
      </c>
      <c r="AF27" s="49"/>
      <c r="AG27" s="49"/>
      <c r="AH27" s="49"/>
    </row>
    <row r="28" spans="2:34">
      <c r="B28" s="48"/>
      <c r="C28" s="48">
        <v>14</v>
      </c>
      <c r="D28" s="54">
        <v>0.27700000000000002</v>
      </c>
      <c r="E28" s="48"/>
      <c r="F28" s="48">
        <v>2</v>
      </c>
      <c r="G28" s="48" t="s">
        <v>501</v>
      </c>
      <c r="H28" s="48">
        <v>6.1513999999999998</v>
      </c>
      <c r="I28" s="48">
        <v>-0.1192</v>
      </c>
      <c r="J28" s="48">
        <v>1.3557999999999999</v>
      </c>
      <c r="K28" s="48">
        <v>-1.78E-2</v>
      </c>
      <c r="L28" s="48"/>
      <c r="M28" s="53">
        <f>H28*$H$25^I28</f>
        <v>2.7000634397382588</v>
      </c>
      <c r="N28" s="48"/>
      <c r="O28" s="48"/>
      <c r="P28" s="48"/>
      <c r="Q28" s="48"/>
      <c r="R28" s="48"/>
      <c r="S28" s="48"/>
      <c r="U28" s="49"/>
      <c r="V28" s="49"/>
      <c r="W28" s="49"/>
      <c r="X28" s="49"/>
      <c r="Y28" s="49">
        <v>24</v>
      </c>
      <c r="Z28" s="49">
        <v>1045</v>
      </c>
      <c r="AA28" s="49" t="s">
        <v>1165</v>
      </c>
      <c r="AB28" s="49">
        <v>82</v>
      </c>
      <c r="AC28" s="49">
        <v>45</v>
      </c>
      <c r="AD28" s="49">
        <v>140</v>
      </c>
      <c r="AE28" s="51" t="str">
        <f t="shared" si="0"/>
        <v>1045HR,Su=82,Sy=45,σ,f=140</v>
      </c>
      <c r="AF28" s="49"/>
      <c r="AG28" s="49"/>
      <c r="AH28" s="49"/>
    </row>
    <row r="29" spans="2:34">
      <c r="B29" s="48"/>
      <c r="C29" s="48">
        <v>15</v>
      </c>
      <c r="D29" s="54">
        <v>0.28999999999999998</v>
      </c>
      <c r="E29" s="48"/>
      <c r="F29" s="48">
        <v>3</v>
      </c>
      <c r="G29" s="48" t="s">
        <v>502</v>
      </c>
      <c r="H29" s="48">
        <v>4.9039999999999999</v>
      </c>
      <c r="I29" s="48">
        <v>-0.1045</v>
      </c>
      <c r="J29" s="48">
        <v>1.3557999999999999</v>
      </c>
      <c r="K29" s="48">
        <v>-1.78E-2</v>
      </c>
      <c r="L29" s="48"/>
      <c r="M29" s="53">
        <f>H29*$H$25^I29</f>
        <v>2.3825962917174635</v>
      </c>
      <c r="N29" s="48"/>
      <c r="O29" s="48"/>
      <c r="P29" s="48"/>
      <c r="Q29" s="48"/>
      <c r="R29" s="48"/>
      <c r="S29" s="48"/>
      <c r="U29" s="49"/>
      <c r="V29" s="49"/>
      <c r="W29" s="49"/>
      <c r="X29" s="49"/>
      <c r="Y29" s="49">
        <v>25</v>
      </c>
      <c r="Z29" s="49">
        <v>1045</v>
      </c>
      <c r="AA29" s="49" t="s">
        <v>1166</v>
      </c>
      <c r="AB29" s="49">
        <v>91</v>
      </c>
      <c r="AC29" s="49">
        <v>77</v>
      </c>
      <c r="AD29" s="49"/>
      <c r="AE29" s="51" t="str">
        <f t="shared" si="0"/>
        <v>1045CD,Su=91,Sy=77,σ,f=n/a</v>
      </c>
      <c r="AF29" s="49"/>
      <c r="AG29" s="49"/>
      <c r="AH29" s="49"/>
    </row>
    <row r="30" spans="2:34">
      <c r="B30" s="48"/>
      <c r="C30" s="48">
        <v>16</v>
      </c>
      <c r="D30" s="54">
        <v>0.29599999999999999</v>
      </c>
      <c r="E30" s="48"/>
      <c r="F30" s="48">
        <v>4</v>
      </c>
      <c r="G30" s="48" t="s">
        <v>503</v>
      </c>
      <c r="H30" s="48">
        <v>3.5169999999999999</v>
      </c>
      <c r="I30" s="48">
        <v>-8.1699999999999995E-2</v>
      </c>
      <c r="J30" s="48">
        <v>1.3557999999999999</v>
      </c>
      <c r="K30" s="48">
        <v>-1.78E-2</v>
      </c>
      <c r="L30" s="48"/>
      <c r="M30" s="53">
        <f>H30*$H$25^I30</f>
        <v>2.0001951427976774</v>
      </c>
      <c r="N30" s="48"/>
      <c r="O30" s="48"/>
      <c r="P30" s="48"/>
      <c r="Q30" s="48"/>
      <c r="R30" s="48"/>
      <c r="S30" s="48"/>
      <c r="U30" s="49"/>
      <c r="V30" s="49"/>
      <c r="W30" s="49"/>
      <c r="X30" s="49"/>
      <c r="Y30" s="49">
        <v>26</v>
      </c>
      <c r="Z30" s="49">
        <v>1050</v>
      </c>
      <c r="AA30" s="49" t="s">
        <v>1165</v>
      </c>
      <c r="AB30" s="49">
        <v>90</v>
      </c>
      <c r="AC30" s="49">
        <v>49.5</v>
      </c>
      <c r="AD30" s="49"/>
      <c r="AE30" s="51" t="str">
        <f t="shared" si="0"/>
        <v>1050HR,Su=90,Sy=49.5,σ,f=n/a</v>
      </c>
      <c r="AF30" s="49"/>
      <c r="AG30" s="49"/>
      <c r="AH30" s="49"/>
    </row>
    <row r="31" spans="2:34">
      <c r="B31" s="48"/>
      <c r="C31" s="48">
        <v>17</v>
      </c>
      <c r="D31" s="54">
        <v>0.30299999999999999</v>
      </c>
      <c r="E31" s="48"/>
      <c r="F31" s="48">
        <v>5</v>
      </c>
      <c r="G31" s="48" t="s">
        <v>504</v>
      </c>
      <c r="H31" s="48">
        <v>2.3193999999999999</v>
      </c>
      <c r="I31" s="48">
        <v>-5.3800000000000001E-2</v>
      </c>
      <c r="J31" s="48">
        <v>1.3557999999999999</v>
      </c>
      <c r="K31" s="48">
        <v>-1.78E-2</v>
      </c>
      <c r="L31" s="48"/>
      <c r="M31" s="53">
        <f>H31*$H$25^I31</f>
        <v>1.5994683576024937</v>
      </c>
      <c r="N31" s="48"/>
      <c r="O31" s="48"/>
      <c r="P31" s="48"/>
      <c r="Q31" s="48"/>
      <c r="R31" s="48"/>
      <c r="S31" s="48"/>
      <c r="U31" s="49"/>
      <c r="V31" s="49"/>
      <c r="W31" s="49"/>
      <c r="X31" s="49"/>
      <c r="Y31" s="49">
        <v>27</v>
      </c>
      <c r="Z31" s="49">
        <v>1050</v>
      </c>
      <c r="AA31" s="49" t="s">
        <v>1166</v>
      </c>
      <c r="AB31" s="49">
        <v>100</v>
      </c>
      <c r="AC31" s="49">
        <v>84</v>
      </c>
      <c r="AD31" s="49"/>
      <c r="AE31" s="51" t="str">
        <f t="shared" si="0"/>
        <v>1050CD,Su=100,Sy=84,σ,f=n/a</v>
      </c>
      <c r="AF31" s="49"/>
      <c r="AG31" s="49"/>
      <c r="AH31" s="49"/>
    </row>
    <row r="32" spans="2:34">
      <c r="B32" s="48"/>
      <c r="C32" s="48">
        <v>18</v>
      </c>
      <c r="D32" s="54">
        <v>0.309</v>
      </c>
      <c r="E32" s="48"/>
      <c r="F32" s="48"/>
      <c r="G32" s="48"/>
      <c r="H32" s="48"/>
      <c r="I32" s="48" t="s">
        <v>505</v>
      </c>
      <c r="J32" s="48">
        <v>1.6831</v>
      </c>
      <c r="K32" s="48">
        <v>-3.2300000000000002E-2</v>
      </c>
      <c r="L32" s="48"/>
      <c r="M32" s="48"/>
      <c r="N32" s="48"/>
      <c r="O32" s="48"/>
      <c r="P32" s="48"/>
      <c r="Q32" s="48"/>
      <c r="R32" s="48"/>
      <c r="S32" s="48"/>
      <c r="U32" s="49"/>
      <c r="V32" s="49"/>
      <c r="W32" s="49"/>
      <c r="X32" s="49"/>
      <c r="Y32" s="49">
        <v>28</v>
      </c>
      <c r="Z32" s="49">
        <v>1050</v>
      </c>
      <c r="AA32" s="49" t="s">
        <v>1175</v>
      </c>
      <c r="AB32" s="49">
        <v>104</v>
      </c>
      <c r="AC32" s="49">
        <v>78</v>
      </c>
      <c r="AD32" s="49"/>
      <c r="AE32" s="51" t="str">
        <f t="shared" si="0"/>
        <v>1050Q&amp;T 650,Su=104,Sy=78,σ,f=n/a</v>
      </c>
      <c r="AF32" s="49"/>
      <c r="AG32" s="49"/>
      <c r="AH32" s="49"/>
    </row>
    <row r="33" spans="2:34">
      <c r="B33" s="48"/>
      <c r="C33" s="48">
        <v>19</v>
      </c>
      <c r="D33" s="54">
        <v>0.314</v>
      </c>
      <c r="E33" s="48"/>
      <c r="F33" s="48" t="s">
        <v>506</v>
      </c>
      <c r="G33" s="48"/>
      <c r="H33" s="48"/>
      <c r="I33" s="53"/>
      <c r="J33" s="48"/>
      <c r="K33" s="48"/>
      <c r="L33" s="48"/>
      <c r="M33" s="48"/>
      <c r="N33" s="48"/>
      <c r="O33" s="48"/>
      <c r="P33" s="48"/>
      <c r="Q33" s="48"/>
      <c r="R33" s="48"/>
      <c r="S33" s="48"/>
      <c r="U33" s="49"/>
      <c r="V33" s="49"/>
      <c r="W33" s="49"/>
      <c r="X33" s="49"/>
      <c r="Y33" s="49">
        <v>29</v>
      </c>
      <c r="Z33" s="49">
        <v>1050</v>
      </c>
      <c r="AA33" s="49" t="s">
        <v>1177</v>
      </c>
      <c r="AB33" s="49">
        <v>108</v>
      </c>
      <c r="AC33" s="49">
        <v>62</v>
      </c>
      <c r="AD33" s="49"/>
      <c r="AE33" s="51" t="str">
        <f t="shared" si="0"/>
        <v>1050Normalized,Su=108,Sy=62,σ,f=n/a</v>
      </c>
      <c r="AF33" s="49"/>
      <c r="AG33" s="49"/>
      <c r="AH33" s="49"/>
    </row>
    <row r="34" spans="2:34">
      <c r="B34" s="48"/>
      <c r="C34" s="48">
        <v>20</v>
      </c>
      <c r="D34" s="54">
        <v>0.32200000000000001</v>
      </c>
      <c r="E34" s="48"/>
      <c r="F34" s="48"/>
      <c r="G34" s="52" t="s">
        <v>497</v>
      </c>
      <c r="H34" s="53">
        <v>10000</v>
      </c>
      <c r="I34" s="48"/>
      <c r="J34" s="53">
        <v>10000000</v>
      </c>
      <c r="K34" s="48"/>
      <c r="L34" s="48"/>
      <c r="M34" s="48"/>
      <c r="N34" s="48"/>
      <c r="O34" s="48"/>
      <c r="P34" s="48"/>
      <c r="Q34" s="48"/>
      <c r="R34" s="48"/>
      <c r="S34" s="48"/>
      <c r="U34" s="49"/>
      <c r="V34" s="49"/>
      <c r="W34" s="49"/>
      <c r="X34" s="49"/>
      <c r="Y34" s="49">
        <v>30</v>
      </c>
      <c r="Z34" s="49">
        <v>1050</v>
      </c>
      <c r="AA34" s="49" t="s">
        <v>1171</v>
      </c>
      <c r="AB34" s="49">
        <v>92</v>
      </c>
      <c r="AC34" s="49">
        <v>53</v>
      </c>
      <c r="AD34" s="49"/>
      <c r="AE34" s="51" t="str">
        <f t="shared" si="0"/>
        <v>1050Annealed,Su=92,Sy=53,σ,f=n/a</v>
      </c>
      <c r="AF34" s="49"/>
      <c r="AG34" s="49"/>
      <c r="AH34" s="49"/>
    </row>
    <row r="35" spans="2:34">
      <c r="B35" s="48"/>
      <c r="C35" s="48">
        <v>21</v>
      </c>
      <c r="D35" s="54">
        <v>0.32800000000000001</v>
      </c>
      <c r="E35" s="48"/>
      <c r="F35" s="48"/>
      <c r="G35" s="48"/>
      <c r="H35" s="48" t="s">
        <v>499</v>
      </c>
      <c r="I35" s="48" t="s">
        <v>426</v>
      </c>
      <c r="J35" s="48" t="s">
        <v>499</v>
      </c>
      <c r="K35" s="48" t="s">
        <v>426</v>
      </c>
      <c r="L35" s="48"/>
      <c r="M35" s="48"/>
      <c r="N35" s="48"/>
      <c r="O35" s="48"/>
      <c r="P35" s="48"/>
      <c r="Q35" s="48"/>
      <c r="R35" s="48"/>
      <c r="S35" s="48"/>
      <c r="T35" s="55"/>
      <c r="U35" s="49"/>
      <c r="V35" s="49"/>
      <c r="W35" s="49"/>
      <c r="X35" s="49"/>
      <c r="Y35" s="49">
        <v>31</v>
      </c>
      <c r="Z35" s="49">
        <v>1060</v>
      </c>
      <c r="AA35" s="49" t="s">
        <v>1165</v>
      </c>
      <c r="AB35" s="49">
        <v>98</v>
      </c>
      <c r="AC35" s="49">
        <v>54</v>
      </c>
      <c r="AD35" s="49"/>
      <c r="AE35" s="51" t="str">
        <f t="shared" si="0"/>
        <v>1060HR,Su=98,Sy=54,σ,f=n/a</v>
      </c>
      <c r="AF35" s="49"/>
      <c r="AG35" s="49"/>
      <c r="AH35" s="49"/>
    </row>
    <row r="36" spans="2:34">
      <c r="B36" s="48"/>
      <c r="C36" s="48">
        <v>22</v>
      </c>
      <c r="D36" s="54">
        <v>0.33100000000000002</v>
      </c>
      <c r="E36" s="48"/>
      <c r="F36" s="48">
        <v>1</v>
      </c>
      <c r="G36" s="48" t="s">
        <v>507</v>
      </c>
      <c r="H36" s="48">
        <v>2.4660000000000002</v>
      </c>
      <c r="I36" s="48">
        <v>-5.6000000000000001E-2</v>
      </c>
      <c r="J36" s="48">
        <v>1.4488000000000001</v>
      </c>
      <c r="K36" s="48">
        <v>-2.3E-2</v>
      </c>
      <c r="L36" s="48"/>
      <c r="M36" s="53">
        <f>H36*$H$34^I36</f>
        <v>1.4722890167157419</v>
      </c>
      <c r="N36" s="48"/>
      <c r="O36" s="48"/>
      <c r="P36" s="48"/>
      <c r="Q36" s="48"/>
      <c r="R36" s="48"/>
      <c r="S36" s="48"/>
      <c r="T36" s="55"/>
      <c r="U36" s="49"/>
      <c r="V36" s="49"/>
      <c r="W36" s="49"/>
      <c r="X36" s="49"/>
      <c r="Y36" s="49">
        <v>32</v>
      </c>
      <c r="Z36" s="49">
        <v>1060</v>
      </c>
      <c r="AA36" s="49" t="s">
        <v>1175</v>
      </c>
      <c r="AB36" s="49">
        <v>116</v>
      </c>
      <c r="AC36" s="49">
        <v>76</v>
      </c>
      <c r="AD36" s="49"/>
      <c r="AE36" s="51" t="str">
        <f t="shared" si="0"/>
        <v>1060Q&amp;T 650,Su=116,Sy=76,σ,f=n/a</v>
      </c>
      <c r="AF36" s="49"/>
      <c r="AG36" s="49"/>
      <c r="AH36" s="49"/>
    </row>
    <row r="37" spans="2:34">
      <c r="B37" s="48"/>
      <c r="C37" s="48">
        <v>24</v>
      </c>
      <c r="D37" s="54">
        <v>0.33700000000000002</v>
      </c>
      <c r="E37" s="48"/>
      <c r="F37" s="48">
        <v>2</v>
      </c>
      <c r="G37" s="48" t="s">
        <v>503</v>
      </c>
      <c r="H37" s="48">
        <v>1.2490000000000001</v>
      </c>
      <c r="I37" s="48">
        <v>-1.38E-2</v>
      </c>
      <c r="J37" s="48">
        <v>1.4488000000000001</v>
      </c>
      <c r="K37" s="48">
        <v>-2.3E-2</v>
      </c>
      <c r="L37" s="48"/>
      <c r="M37" s="53">
        <f>H37*$H$34^I37</f>
        <v>1.0999233922941622</v>
      </c>
      <c r="N37" s="48"/>
      <c r="O37" s="48"/>
      <c r="P37" s="48"/>
      <c r="Q37" s="48"/>
      <c r="R37" s="48"/>
      <c r="S37" s="48"/>
      <c r="U37" s="49"/>
      <c r="V37" s="49"/>
      <c r="W37" s="49"/>
      <c r="X37" s="49"/>
      <c r="Y37" s="49">
        <v>33</v>
      </c>
      <c r="Z37" s="49">
        <v>1060</v>
      </c>
      <c r="AA37" s="49" t="s">
        <v>1177</v>
      </c>
      <c r="AB37" s="49">
        <v>112</v>
      </c>
      <c r="AC37" s="49">
        <v>61</v>
      </c>
      <c r="AD37" s="49"/>
      <c r="AE37" s="51" t="str">
        <f t="shared" si="0"/>
        <v>1060Normalized,Su=112,Sy=61,σ,f=n/a</v>
      </c>
      <c r="AF37" s="49"/>
      <c r="AG37" s="49"/>
      <c r="AH37" s="49"/>
    </row>
    <row r="38" spans="2:34">
      <c r="B38" s="48"/>
      <c r="C38" s="48">
        <v>26</v>
      </c>
      <c r="D38" s="54">
        <v>0.34599999999999997</v>
      </c>
      <c r="E38" s="48"/>
      <c r="F38" s="48"/>
      <c r="G38" s="48"/>
      <c r="H38" s="48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U38" s="49"/>
      <c r="V38" s="49"/>
      <c r="W38" s="49"/>
      <c r="X38" s="49"/>
      <c r="Y38" s="49">
        <v>34</v>
      </c>
      <c r="Z38" s="49">
        <v>1060</v>
      </c>
      <c r="AA38" s="49" t="s">
        <v>1171</v>
      </c>
      <c r="AB38" s="49">
        <v>91</v>
      </c>
      <c r="AC38" s="49">
        <v>54</v>
      </c>
      <c r="AD38" s="49"/>
      <c r="AE38" s="51" t="str">
        <f t="shared" si="0"/>
        <v>1060Annealed,Su=91,Sy=54,σ,f=n/a</v>
      </c>
      <c r="AF38" s="49"/>
      <c r="AG38" s="49"/>
      <c r="AH38" s="49"/>
    </row>
    <row r="39" spans="2:34">
      <c r="B39" s="48"/>
      <c r="C39" s="48">
        <v>28</v>
      </c>
      <c r="D39" s="54">
        <v>0.35299999999999998</v>
      </c>
      <c r="E39" s="48"/>
      <c r="F39" s="48" t="s">
        <v>1183</v>
      </c>
      <c r="G39" s="48"/>
      <c r="H39" s="48"/>
      <c r="I39" s="48" t="s">
        <v>1184</v>
      </c>
      <c r="J39" s="48"/>
      <c r="K39" s="48"/>
      <c r="L39" s="48"/>
      <c r="M39" s="48"/>
      <c r="N39" s="48"/>
      <c r="O39" s="48"/>
      <c r="P39" s="48"/>
      <c r="Q39" s="48"/>
      <c r="R39" s="48"/>
      <c r="S39" s="48"/>
      <c r="U39" s="49"/>
      <c r="V39" s="49"/>
      <c r="W39" s="49"/>
      <c r="X39" s="49"/>
      <c r="Y39" s="49">
        <v>35</v>
      </c>
      <c r="Z39" s="49">
        <v>1080</v>
      </c>
      <c r="AA39" s="49" t="s">
        <v>1165</v>
      </c>
      <c r="AB39" s="49">
        <v>112</v>
      </c>
      <c r="AC39" s="49">
        <v>61.5</v>
      </c>
      <c r="AD39" s="49"/>
      <c r="AE39" s="51" t="str">
        <f t="shared" si="0"/>
        <v>1080HR,Su=112,Sy=61.5,σ,f=n/a</v>
      </c>
      <c r="AF39" s="49"/>
      <c r="AG39" s="49"/>
      <c r="AH39" s="49"/>
    </row>
    <row r="40" spans="2:34">
      <c r="B40" s="48"/>
      <c r="C40" s="48">
        <v>30</v>
      </c>
      <c r="D40" s="54">
        <v>0.35899999999999999</v>
      </c>
      <c r="E40" s="48"/>
      <c r="F40" s="48">
        <v>1</v>
      </c>
      <c r="G40" s="48" t="s">
        <v>1185</v>
      </c>
      <c r="H40" s="48"/>
      <c r="I40" s="48">
        <v>1</v>
      </c>
      <c r="J40" s="48" t="s">
        <v>1186</v>
      </c>
      <c r="K40" s="48"/>
      <c r="L40" s="48"/>
      <c r="M40" s="48"/>
      <c r="N40" s="48"/>
      <c r="O40" s="48"/>
      <c r="P40" s="48"/>
      <c r="Q40" s="48"/>
      <c r="R40" s="48"/>
      <c r="S40" s="48"/>
      <c r="U40" s="49"/>
      <c r="V40" s="49"/>
      <c r="W40" s="49"/>
      <c r="X40" s="49"/>
      <c r="Y40" s="49">
        <v>36</v>
      </c>
      <c r="Z40" s="49">
        <v>1095</v>
      </c>
      <c r="AA40" s="49" t="s">
        <v>1165</v>
      </c>
      <c r="AB40" s="49">
        <v>120</v>
      </c>
      <c r="AC40" s="49">
        <v>66</v>
      </c>
      <c r="AD40" s="49"/>
      <c r="AE40" s="51" t="str">
        <f t="shared" si="0"/>
        <v>1095HR,Su=120,Sy=66,σ,f=n/a</v>
      </c>
      <c r="AF40" s="49"/>
      <c r="AG40" s="49"/>
      <c r="AH40" s="49"/>
    </row>
    <row r="41" spans="2:34">
      <c r="B41" s="48"/>
      <c r="C41" s="48">
        <v>34</v>
      </c>
      <c r="D41" s="54">
        <v>0.371</v>
      </c>
      <c r="E41" s="48"/>
      <c r="F41" s="48">
        <v>2</v>
      </c>
      <c r="G41" s="48" t="s">
        <v>1187</v>
      </c>
      <c r="H41" s="48"/>
      <c r="I41" s="48">
        <v>2</v>
      </c>
      <c r="J41" s="48" t="s">
        <v>1188</v>
      </c>
      <c r="K41" s="48"/>
      <c r="L41" s="48"/>
      <c r="M41" s="48"/>
      <c r="N41" s="48"/>
      <c r="O41" s="48"/>
      <c r="P41" s="48"/>
      <c r="Q41" s="48"/>
      <c r="R41" s="48"/>
      <c r="S41" s="48"/>
      <c r="U41" s="49"/>
      <c r="V41" s="49"/>
      <c r="W41" s="49"/>
      <c r="X41" s="49"/>
      <c r="Y41" s="49">
        <v>37</v>
      </c>
      <c r="Z41" s="49">
        <v>1095</v>
      </c>
      <c r="AA41" s="49" t="s">
        <v>1175</v>
      </c>
      <c r="AB41" s="49">
        <v>130</v>
      </c>
      <c r="AC41" s="49">
        <v>80</v>
      </c>
      <c r="AD41" s="49"/>
      <c r="AE41" s="51" t="str">
        <f t="shared" si="0"/>
        <v>1095Q&amp;T 650,Su=130,Sy=80,σ,f=n/a</v>
      </c>
      <c r="AF41" s="49"/>
      <c r="AG41" s="49"/>
      <c r="AH41" s="49"/>
    </row>
    <row r="42" spans="2:34">
      <c r="B42" s="48"/>
      <c r="C42" s="48">
        <v>38</v>
      </c>
      <c r="D42" s="54">
        <v>0.38400000000000001</v>
      </c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48"/>
      <c r="R42" s="48"/>
      <c r="S42" s="48"/>
      <c r="U42" s="49"/>
      <c r="V42" s="49"/>
      <c r="W42" s="49"/>
      <c r="X42" s="49"/>
      <c r="Y42" s="49">
        <v>38</v>
      </c>
      <c r="Z42" s="49">
        <v>1095</v>
      </c>
      <c r="AA42" s="49" t="s">
        <v>1177</v>
      </c>
      <c r="AB42" s="49">
        <v>147</v>
      </c>
      <c r="AC42" s="49">
        <v>72</v>
      </c>
      <c r="AD42" s="49"/>
      <c r="AE42" s="51" t="str">
        <f t="shared" si="0"/>
        <v>1095Normalized,Su=147,Sy=72,σ,f=n/a</v>
      </c>
      <c r="AF42" s="49"/>
      <c r="AG42" s="49"/>
      <c r="AH42" s="49"/>
    </row>
    <row r="43" spans="2:34">
      <c r="B43" s="48"/>
      <c r="C43" s="48">
        <v>43</v>
      </c>
      <c r="D43" s="54">
        <v>0.39700000000000002</v>
      </c>
      <c r="E43" s="48"/>
      <c r="F43" s="48" t="s">
        <v>1189</v>
      </c>
      <c r="G43" s="48"/>
      <c r="H43" s="48"/>
      <c r="I43" s="48"/>
      <c r="J43" s="48"/>
      <c r="K43" s="48"/>
      <c r="L43" s="48"/>
      <c r="M43" s="48"/>
      <c r="N43" s="48"/>
      <c r="O43" s="48"/>
      <c r="P43" s="48"/>
      <c r="Q43" s="48"/>
      <c r="R43" s="48"/>
      <c r="S43" s="48"/>
      <c r="U43" s="49"/>
      <c r="V43" s="49"/>
      <c r="W43" s="49"/>
      <c r="X43" s="49"/>
      <c r="Y43" s="49">
        <v>39</v>
      </c>
      <c r="Z43" s="49">
        <v>1095</v>
      </c>
      <c r="AA43" s="49" t="s">
        <v>1171</v>
      </c>
      <c r="AB43" s="49">
        <v>95</v>
      </c>
      <c r="AC43" s="49">
        <v>55</v>
      </c>
      <c r="AD43" s="49"/>
      <c r="AE43" s="51" t="str">
        <f t="shared" si="0"/>
        <v>1095Annealed,Su=95,Sy=55,σ,f=n/a</v>
      </c>
      <c r="AF43" s="49"/>
      <c r="AG43" s="49"/>
      <c r="AH43" s="49"/>
    </row>
    <row r="44" spans="2:34">
      <c r="B44" s="48"/>
      <c r="C44" s="48">
        <v>50</v>
      </c>
      <c r="D44" s="54">
        <v>0.40899999999999997</v>
      </c>
      <c r="E44" s="48"/>
      <c r="F44" s="48"/>
      <c r="G44" s="48" t="s">
        <v>1162</v>
      </c>
      <c r="H44" s="48" t="s">
        <v>203</v>
      </c>
      <c r="I44" s="48" t="s">
        <v>206</v>
      </c>
      <c r="J44" s="48" t="s">
        <v>509</v>
      </c>
      <c r="K44" s="48"/>
      <c r="L44" s="48"/>
      <c r="M44" s="48"/>
      <c r="N44" s="48"/>
      <c r="O44" s="48"/>
      <c r="P44" s="48"/>
      <c r="Q44" s="48"/>
      <c r="R44" s="48"/>
      <c r="S44" s="48"/>
      <c r="U44" s="49"/>
      <c r="V44" s="49"/>
      <c r="W44" s="49"/>
      <c r="X44" s="49"/>
      <c r="Y44" s="49">
        <v>40</v>
      </c>
      <c r="Z44" s="49">
        <v>4130</v>
      </c>
      <c r="AA44" s="49" t="s">
        <v>1175</v>
      </c>
      <c r="AB44" s="49">
        <v>118</v>
      </c>
      <c r="AC44" s="49">
        <v>102</v>
      </c>
      <c r="AD44" s="49"/>
      <c r="AE44" s="51" t="str">
        <f t="shared" si="0"/>
        <v>4130Q&amp;T 650,Su=118,Sy=102,σ,f=n/a</v>
      </c>
      <c r="AF44" s="49"/>
      <c r="AG44" s="49"/>
      <c r="AH44" s="49"/>
    </row>
    <row r="45" spans="2:34">
      <c r="B45" s="48"/>
      <c r="C45" s="48">
        <v>60</v>
      </c>
      <c r="D45" s="54">
        <v>0.42199999999999999</v>
      </c>
      <c r="E45" s="48"/>
      <c r="F45" s="48">
        <v>1</v>
      </c>
      <c r="G45" s="48" t="s">
        <v>1190</v>
      </c>
      <c r="H45" s="48">
        <v>0.247</v>
      </c>
      <c r="I45" s="48">
        <v>1.67E-2</v>
      </c>
      <c r="J45" s="53">
        <v>-7.6500000000000003E-5</v>
      </c>
      <c r="K45" s="48"/>
      <c r="L45" s="48"/>
      <c r="M45" s="48"/>
      <c r="N45" s="48"/>
      <c r="O45" s="48"/>
      <c r="P45" s="48"/>
      <c r="Q45" s="48"/>
      <c r="R45" s="48"/>
      <c r="S45" s="48"/>
      <c r="U45" s="49"/>
      <c r="V45" s="49"/>
      <c r="W45" s="49"/>
      <c r="X45" s="49"/>
      <c r="Y45" s="49">
        <v>41</v>
      </c>
      <c r="Z45" s="49">
        <v>4130</v>
      </c>
      <c r="AA45" s="49" t="s">
        <v>1177</v>
      </c>
      <c r="AB45" s="49">
        <v>97</v>
      </c>
      <c r="AC45" s="49">
        <v>63</v>
      </c>
      <c r="AD45" s="49"/>
      <c r="AE45" s="51" t="str">
        <f t="shared" si="0"/>
        <v>4130Normalized,Su=97,Sy=63,σ,f=n/a</v>
      </c>
      <c r="AF45" s="49"/>
      <c r="AG45" s="49"/>
      <c r="AH45" s="49"/>
    </row>
    <row r="46" spans="2:34">
      <c r="B46" s="48"/>
      <c r="C46" s="48">
        <v>75</v>
      </c>
      <c r="D46" s="54">
        <v>0.435</v>
      </c>
      <c r="E46" s="48"/>
      <c r="F46" s="48">
        <v>2</v>
      </c>
      <c r="G46" s="48" t="s">
        <v>1191</v>
      </c>
      <c r="H46" s="48">
        <v>0.127</v>
      </c>
      <c r="I46" s="48">
        <v>1.5800000000000002E-2</v>
      </c>
      <c r="J46" s="53">
        <v>-9.2999999999999997E-5</v>
      </c>
      <c r="K46" s="48"/>
      <c r="L46" s="48"/>
      <c r="M46" s="48"/>
      <c r="N46" s="48"/>
      <c r="O46" s="48"/>
      <c r="P46" s="48"/>
      <c r="Q46" s="48"/>
      <c r="R46" s="48"/>
      <c r="S46" s="48"/>
      <c r="U46" s="49"/>
      <c r="V46" s="49"/>
      <c r="W46" s="49"/>
      <c r="X46" s="49"/>
      <c r="Y46" s="49">
        <v>42</v>
      </c>
      <c r="Z46" s="49">
        <v>4130</v>
      </c>
      <c r="AA46" s="49" t="s">
        <v>1171</v>
      </c>
      <c r="AB46" s="49">
        <v>81</v>
      </c>
      <c r="AC46" s="49">
        <v>52</v>
      </c>
      <c r="AD46" s="49"/>
      <c r="AE46" s="51" t="str">
        <f t="shared" si="0"/>
        <v>4130Annealed,Su=81,Sy=52,σ,f=n/a</v>
      </c>
      <c r="AF46" s="49"/>
      <c r="AG46" s="49"/>
      <c r="AH46" s="49"/>
    </row>
    <row r="47" spans="2:34">
      <c r="B47" s="48"/>
      <c r="C47" s="48">
        <v>100</v>
      </c>
      <c r="D47" s="54">
        <v>0.44700000000000001</v>
      </c>
      <c r="E47" s="48"/>
      <c r="F47" s="48">
        <v>3</v>
      </c>
      <c r="G47" s="48" t="s">
        <v>1192</v>
      </c>
      <c r="H47" s="48">
        <v>6.7500000000000004E-2</v>
      </c>
      <c r="I47" s="48">
        <v>1.2800000000000001E-2</v>
      </c>
      <c r="J47" s="53">
        <v>-9.2600000000000001E-5</v>
      </c>
      <c r="K47" s="48"/>
      <c r="L47" s="48"/>
      <c r="M47" s="48"/>
      <c r="N47" s="48"/>
      <c r="O47" s="48"/>
      <c r="P47" s="48"/>
      <c r="Q47" s="48"/>
      <c r="R47" s="48"/>
      <c r="S47" s="48"/>
      <c r="U47" s="49"/>
      <c r="V47" s="49"/>
      <c r="W47" s="49"/>
      <c r="X47" s="49"/>
      <c r="Y47" s="49">
        <v>43</v>
      </c>
      <c r="Z47" s="49">
        <v>4340</v>
      </c>
      <c r="AA47" s="49" t="s">
        <v>1175</v>
      </c>
      <c r="AB47" s="49">
        <v>140</v>
      </c>
      <c r="AC47" s="49">
        <v>124</v>
      </c>
      <c r="AD47" s="49"/>
      <c r="AE47" s="51" t="str">
        <f t="shared" si="0"/>
        <v>4340Q&amp;T 650,Su=140,Sy=124,σ,f=n/a</v>
      </c>
      <c r="AF47" s="49"/>
      <c r="AG47" s="49"/>
      <c r="AH47" s="49"/>
    </row>
    <row r="48" spans="2:34">
      <c r="B48" s="48"/>
      <c r="C48" s="48">
        <v>150</v>
      </c>
      <c r="D48" s="54">
        <v>0.46</v>
      </c>
      <c r="E48" s="48"/>
      <c r="F48" s="48">
        <v>4</v>
      </c>
      <c r="G48" s="48" t="s">
        <v>1193</v>
      </c>
      <c r="H48" s="48">
        <v>3.5999999999999999E-3</v>
      </c>
      <c r="I48" s="48">
        <v>1.2E-2</v>
      </c>
      <c r="J48" s="53">
        <v>-8.2200000000000006E-5</v>
      </c>
      <c r="K48" s="48"/>
      <c r="L48" s="48"/>
      <c r="M48" s="48"/>
      <c r="N48" s="48"/>
      <c r="O48" s="48"/>
      <c r="P48" s="48"/>
      <c r="Q48" s="48"/>
      <c r="R48" s="48"/>
      <c r="S48" s="48"/>
      <c r="U48" s="49"/>
      <c r="V48" s="49"/>
      <c r="W48" s="49"/>
      <c r="X48" s="49"/>
      <c r="Y48" s="49"/>
      <c r="Z48" s="49"/>
      <c r="AA48" s="49"/>
      <c r="AB48" s="49"/>
      <c r="AC48" s="49"/>
      <c r="AD48" s="49"/>
      <c r="AE48" s="49"/>
      <c r="AF48" s="49"/>
      <c r="AG48" s="49"/>
      <c r="AH48" s="49"/>
    </row>
    <row r="49" spans="2:34">
      <c r="B49" s="48"/>
      <c r="C49" s="48">
        <v>300</v>
      </c>
      <c r="D49" s="54">
        <v>0.47199999999999998</v>
      </c>
      <c r="E49" s="48"/>
      <c r="F49" s="48"/>
      <c r="G49" s="48"/>
      <c r="H49" s="48"/>
      <c r="I49" s="48"/>
      <c r="J49" s="48"/>
      <c r="K49" s="48"/>
      <c r="L49" s="48"/>
      <c r="M49" s="48"/>
      <c r="N49" s="48"/>
      <c r="O49" s="48"/>
      <c r="P49" s="48"/>
      <c r="Q49" s="48"/>
      <c r="R49" s="48"/>
      <c r="S49" s="48"/>
      <c r="U49" s="49"/>
      <c r="V49" s="49"/>
      <c r="W49" s="49"/>
      <c r="X49" s="49"/>
      <c r="Y49" s="49"/>
      <c r="Z49" s="49"/>
      <c r="AA49" s="49"/>
      <c r="AB49" s="49"/>
      <c r="AC49" s="49"/>
      <c r="AD49" s="49"/>
      <c r="AE49" s="49"/>
      <c r="AF49" s="49"/>
      <c r="AG49" s="49"/>
      <c r="AH49" s="49"/>
    </row>
    <row r="50" spans="2:34">
      <c r="B50" s="48"/>
      <c r="C50" s="48">
        <v>400</v>
      </c>
      <c r="D50" s="54">
        <v>0.48</v>
      </c>
      <c r="E50" s="48"/>
      <c r="F50" s="48"/>
      <c r="G50" s="48"/>
      <c r="H50" s="48"/>
      <c r="I50" s="48"/>
      <c r="J50" s="48"/>
      <c r="K50" s="48"/>
      <c r="L50" s="48"/>
      <c r="M50" s="48"/>
      <c r="N50" s="48"/>
      <c r="O50" s="48"/>
      <c r="P50" s="48"/>
      <c r="Q50" s="48"/>
      <c r="R50" s="48"/>
      <c r="S50" s="48"/>
      <c r="U50" s="49"/>
      <c r="V50" s="49"/>
      <c r="W50" s="49"/>
      <c r="X50" s="49"/>
      <c r="Y50" s="49"/>
      <c r="Z50" s="49"/>
      <c r="AA50" s="49"/>
      <c r="AB50" s="49"/>
      <c r="AC50" s="49"/>
      <c r="AD50" s="49"/>
      <c r="AE50" s="49"/>
      <c r="AF50" s="49"/>
      <c r="AG50" s="49"/>
      <c r="AH50" s="4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2023-10-09T21:15:12Z</dcterms:created>
  <dcterms:modified xsi:type="dcterms:W3CDTF">2026-01-05T20:35:41Z</dcterms:modified>
  <cp:category/>
  <cp:contentStatus/>
</cp:coreProperties>
</file>